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ТСН-2001'!$38:$38</definedName>
    <definedName name="_xlnm.Print_Titles" localSheetId="0">'Смета по ТСН-2001'!$31:$31</definedName>
    <definedName name="_xlnm.Print_Area" localSheetId="1">'Акт КС-2 по ТСН-2001'!$A$1:$L$109</definedName>
    <definedName name="_xlnm.Print_Area" localSheetId="0">'Смета по ТСН-2001'!$A$1:$K$103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06" i="6"/>
  <c r="I103" i="6"/>
  <c r="D106" i="6"/>
  <c r="D103" i="6"/>
  <c r="K100" i="6"/>
  <c r="D100" i="6"/>
  <c r="K99" i="6"/>
  <c r="D99" i="6"/>
  <c r="J98" i="6"/>
  <c r="K98" i="6"/>
  <c r="J97" i="6"/>
  <c r="K97" i="6"/>
  <c r="I96" i="6"/>
  <c r="K96" i="6"/>
  <c r="A96" i="6"/>
  <c r="J94" i="6"/>
  <c r="K94" i="6"/>
  <c r="J93" i="6"/>
  <c r="K93" i="6"/>
  <c r="I92" i="6"/>
  <c r="K92" i="6"/>
  <c r="A92" i="6"/>
  <c r="AA90" i="6"/>
  <c r="Z90" i="6"/>
  <c r="Y90" i="6"/>
  <c r="X90" i="6"/>
  <c r="O90" i="6"/>
  <c r="I90" i="6"/>
  <c r="P90" i="6"/>
  <c r="K90" i="6"/>
  <c r="L89" i="6"/>
  <c r="K89" i="6"/>
  <c r="J89" i="6"/>
  <c r="I89" i="6"/>
  <c r="H89" i="6"/>
  <c r="G89" i="6"/>
  <c r="V88" i="6"/>
  <c r="T88" i="6"/>
  <c r="R88" i="6"/>
  <c r="U88" i="6"/>
  <c r="S88" i="6"/>
  <c r="Q88" i="6"/>
  <c r="F88" i="6"/>
  <c r="E88" i="6"/>
  <c r="C88" i="6"/>
  <c r="B88" i="6"/>
  <c r="AA87" i="6"/>
  <c r="Z87" i="6"/>
  <c r="Y87" i="6"/>
  <c r="X87" i="6"/>
  <c r="O87" i="6"/>
  <c r="I87" i="6"/>
  <c r="P87" i="6"/>
  <c r="K87" i="6"/>
  <c r="J86" i="6"/>
  <c r="I86" i="6"/>
  <c r="H86" i="6"/>
  <c r="F86" i="6"/>
  <c r="L85" i="6"/>
  <c r="K85" i="6"/>
  <c r="J85" i="6"/>
  <c r="F85" i="6"/>
  <c r="L84" i="6"/>
  <c r="K84" i="6"/>
  <c r="J84" i="6"/>
  <c r="F84" i="6"/>
  <c r="L83" i="6"/>
  <c r="K83" i="6"/>
  <c r="W83" i="6"/>
  <c r="J83" i="6"/>
  <c r="I83" i="6"/>
  <c r="H83" i="6"/>
  <c r="G83" i="6"/>
  <c r="V82" i="6"/>
  <c r="T82" i="6"/>
  <c r="R82" i="6"/>
  <c r="U82" i="6"/>
  <c r="S82" i="6"/>
  <c r="Q82" i="6"/>
  <c r="F82" i="6"/>
  <c r="E82" i="6"/>
  <c r="C82" i="6"/>
  <c r="B82" i="6"/>
  <c r="AA81" i="6"/>
  <c r="Z81" i="6"/>
  <c r="Y81" i="6"/>
  <c r="X81" i="6"/>
  <c r="O81" i="6"/>
  <c r="I81" i="6"/>
  <c r="P81" i="6"/>
  <c r="K81" i="6"/>
  <c r="J80" i="6"/>
  <c r="I80" i="6"/>
  <c r="H80" i="6"/>
  <c r="F80" i="6"/>
  <c r="L79" i="6"/>
  <c r="K79" i="6"/>
  <c r="J79" i="6"/>
  <c r="F79" i="6"/>
  <c r="L78" i="6"/>
  <c r="K78" i="6"/>
  <c r="J78" i="6"/>
  <c r="F78" i="6"/>
  <c r="L77" i="6"/>
  <c r="K77" i="6"/>
  <c r="W77" i="6"/>
  <c r="J77" i="6"/>
  <c r="I77" i="6"/>
  <c r="H77" i="6"/>
  <c r="G77" i="6"/>
  <c r="V76" i="6"/>
  <c r="T76" i="6"/>
  <c r="R76" i="6"/>
  <c r="U76" i="6"/>
  <c r="S76" i="6"/>
  <c r="Q76" i="6"/>
  <c r="F76" i="6"/>
  <c r="E76" i="6"/>
  <c r="C76" i="6"/>
  <c r="B76" i="6"/>
  <c r="AA75" i="6"/>
  <c r="Z75" i="6"/>
  <c r="Y75" i="6"/>
  <c r="X75" i="6"/>
  <c r="O75" i="6"/>
  <c r="I75" i="6"/>
  <c r="P75" i="6"/>
  <c r="K75" i="6"/>
  <c r="J74" i="6"/>
  <c r="I74" i="6"/>
  <c r="H74" i="6"/>
  <c r="F74" i="6"/>
  <c r="L73" i="6"/>
  <c r="K73" i="6"/>
  <c r="J73" i="6"/>
  <c r="F73" i="6"/>
  <c r="L72" i="6"/>
  <c r="K72" i="6"/>
  <c r="J72" i="6"/>
  <c r="F72" i="6"/>
  <c r="L71" i="6"/>
  <c r="K71" i="6"/>
  <c r="W71" i="6"/>
  <c r="J71" i="6"/>
  <c r="I71" i="6"/>
  <c r="H71" i="6"/>
  <c r="G71" i="6"/>
  <c r="V70" i="6"/>
  <c r="T70" i="6"/>
  <c r="R70" i="6"/>
  <c r="U70" i="6"/>
  <c r="S70" i="6"/>
  <c r="Q70" i="6"/>
  <c r="F70" i="6"/>
  <c r="E70" i="6"/>
  <c r="C70" i="6"/>
  <c r="B70" i="6"/>
  <c r="AA69" i="6"/>
  <c r="Z69" i="6"/>
  <c r="Y69" i="6"/>
  <c r="X69" i="6"/>
  <c r="O69" i="6"/>
  <c r="I69" i="6"/>
  <c r="P69" i="6"/>
  <c r="K69" i="6"/>
  <c r="J68" i="6"/>
  <c r="I68" i="6"/>
  <c r="H68" i="6"/>
  <c r="F68" i="6"/>
  <c r="L67" i="6"/>
  <c r="K67" i="6"/>
  <c r="J67" i="6"/>
  <c r="F67" i="6"/>
  <c r="L66" i="6"/>
  <c r="K66" i="6"/>
  <c r="J66" i="6"/>
  <c r="F66" i="6"/>
  <c r="L65" i="6"/>
  <c r="K65" i="6"/>
  <c r="W65" i="6"/>
  <c r="J65" i="6"/>
  <c r="I65" i="6"/>
  <c r="H65" i="6"/>
  <c r="G65" i="6"/>
  <c r="V64" i="6"/>
  <c r="T64" i="6"/>
  <c r="R64" i="6"/>
  <c r="U64" i="6"/>
  <c r="S64" i="6"/>
  <c r="Q64" i="6"/>
  <c r="F64" i="6"/>
  <c r="E64" i="6"/>
  <c r="C64" i="6"/>
  <c r="B64" i="6"/>
  <c r="AA63" i="6"/>
  <c r="Z63" i="6"/>
  <c r="Y63" i="6"/>
  <c r="X63" i="6"/>
  <c r="O63" i="6"/>
  <c r="I63" i="6"/>
  <c r="P63" i="6"/>
  <c r="K63" i="6"/>
  <c r="J62" i="6"/>
  <c r="I62" i="6"/>
  <c r="H62" i="6"/>
  <c r="F62" i="6"/>
  <c r="L61" i="6"/>
  <c r="K61" i="6"/>
  <c r="J61" i="6"/>
  <c r="F61" i="6"/>
  <c r="L60" i="6"/>
  <c r="K60" i="6"/>
  <c r="J60" i="6"/>
  <c r="F60" i="6"/>
  <c r="L59" i="6"/>
  <c r="K59" i="6"/>
  <c r="W59" i="6"/>
  <c r="J59" i="6"/>
  <c r="I59" i="6"/>
  <c r="H59" i="6"/>
  <c r="G59" i="6"/>
  <c r="V58" i="6"/>
  <c r="T58" i="6"/>
  <c r="R58" i="6"/>
  <c r="U58" i="6"/>
  <c r="S58" i="6"/>
  <c r="Q58" i="6"/>
  <c r="F58" i="6"/>
  <c r="E58" i="6"/>
  <c r="C58" i="6"/>
  <c r="B58" i="6"/>
  <c r="AA57" i="6"/>
  <c r="Z57" i="6"/>
  <c r="Y57" i="6"/>
  <c r="X57" i="6"/>
  <c r="O57" i="6"/>
  <c r="I57" i="6"/>
  <c r="P57" i="6"/>
  <c r="K57" i="6"/>
  <c r="J56" i="6"/>
  <c r="I56" i="6"/>
  <c r="H56" i="6"/>
  <c r="F56" i="6"/>
  <c r="L55" i="6"/>
  <c r="K55" i="6"/>
  <c r="J55" i="6"/>
  <c r="F55" i="6"/>
  <c r="L54" i="6"/>
  <c r="K54" i="6"/>
  <c r="J54" i="6"/>
  <c r="F54" i="6"/>
  <c r="L53" i="6"/>
  <c r="K53" i="6"/>
  <c r="J53" i="6"/>
  <c r="F53" i="6"/>
  <c r="L52" i="6"/>
  <c r="K52" i="6"/>
  <c r="W52" i="6"/>
  <c r="J52" i="6"/>
  <c r="I52" i="6"/>
  <c r="H52" i="6"/>
  <c r="G52" i="6"/>
  <c r="L51" i="6"/>
  <c r="K51" i="6"/>
  <c r="J51" i="6"/>
  <c r="I51" i="6"/>
  <c r="H51" i="6"/>
  <c r="G51" i="6"/>
  <c r="L50" i="6"/>
  <c r="K50" i="6"/>
  <c r="W50" i="6"/>
  <c r="J50" i="6"/>
  <c r="I50" i="6"/>
  <c r="H50" i="6"/>
  <c r="G50" i="6"/>
  <c r="V49" i="6"/>
  <c r="T49" i="6"/>
  <c r="R49" i="6"/>
  <c r="U49" i="6"/>
  <c r="S49" i="6"/>
  <c r="Q49" i="6"/>
  <c r="F49" i="6"/>
  <c r="E49" i="6"/>
  <c r="C49" i="6"/>
  <c r="B49" i="6"/>
  <c r="AA48" i="6"/>
  <c r="Z48" i="6"/>
  <c r="Y48" i="6"/>
  <c r="X48" i="6"/>
  <c r="O48" i="6"/>
  <c r="I48" i="6"/>
  <c r="P48" i="6"/>
  <c r="K48" i="6"/>
  <c r="J47" i="6"/>
  <c r="I47" i="6"/>
  <c r="H47" i="6"/>
  <c r="F47" i="6"/>
  <c r="L46" i="6"/>
  <c r="K46" i="6"/>
  <c r="J46" i="6"/>
  <c r="F46" i="6"/>
  <c r="L45" i="6"/>
  <c r="K45" i="6"/>
  <c r="J45" i="6"/>
  <c r="F45" i="6"/>
  <c r="L44" i="6"/>
  <c r="K44" i="6"/>
  <c r="J44" i="6"/>
  <c r="F44" i="6"/>
  <c r="L43" i="6"/>
  <c r="K43" i="6"/>
  <c r="J43" i="6"/>
  <c r="I43" i="6"/>
  <c r="H43" i="6"/>
  <c r="G43" i="6"/>
  <c r="L42" i="6"/>
  <c r="K42" i="6"/>
  <c r="W42" i="6"/>
  <c r="J42" i="6"/>
  <c r="I42" i="6"/>
  <c r="H42" i="6"/>
  <c r="G42" i="6"/>
  <c r="L41" i="6"/>
  <c r="K41" i="6"/>
  <c r="J41" i="6"/>
  <c r="I41" i="6"/>
  <c r="H41" i="6"/>
  <c r="G41" i="6"/>
  <c r="L40" i="6"/>
  <c r="K40" i="6"/>
  <c r="W40" i="6"/>
  <c r="J40" i="6"/>
  <c r="I40" i="6"/>
  <c r="H40" i="6"/>
  <c r="G40" i="6"/>
  <c r="V39" i="6"/>
  <c r="T39" i="6"/>
  <c r="R39" i="6"/>
  <c r="U39" i="6"/>
  <c r="S39" i="6"/>
  <c r="Q39" i="6"/>
  <c r="F39" i="6"/>
  <c r="E39" i="6"/>
  <c r="C39" i="6"/>
  <c r="B39" i="6"/>
  <c r="H31" i="6"/>
  <c r="G26" i="6"/>
  <c r="J22" i="6"/>
  <c r="J21" i="6"/>
  <c r="J20" i="6"/>
  <c r="J19" i="6"/>
  <c r="J16" i="6"/>
  <c r="C17" i="6"/>
  <c r="J14" i="6"/>
  <c r="J12" i="6"/>
  <c r="C13" i="6"/>
  <c r="J10" i="6"/>
  <c r="AJ11" i="6"/>
  <c r="C11" i="6"/>
  <c r="J8" i="6"/>
  <c r="C9" i="6"/>
  <c r="A1" i="6"/>
  <c r="H101" i="5"/>
  <c r="H98" i="5"/>
  <c r="C101" i="5"/>
  <c r="C98" i="5"/>
  <c r="J95" i="5"/>
  <c r="C95" i="5"/>
  <c r="J94" i="5"/>
  <c r="C94" i="5"/>
  <c r="J28" i="5"/>
  <c r="J26" i="5"/>
  <c r="J25" i="5"/>
  <c r="J24" i="5"/>
  <c r="J23" i="5"/>
  <c r="J22" i="5"/>
  <c r="J21" i="5"/>
  <c r="I28" i="5"/>
  <c r="I93" i="5"/>
  <c r="J93" i="5"/>
  <c r="I92" i="5"/>
  <c r="J92" i="5"/>
  <c r="A91" i="5"/>
  <c r="I89" i="5"/>
  <c r="J89" i="5"/>
  <c r="I88" i="5"/>
  <c r="J88" i="5"/>
  <c r="A87" i="5"/>
  <c r="Z85" i="5"/>
  <c r="Y85" i="5"/>
  <c r="X85" i="5"/>
  <c r="K84" i="5"/>
  <c r="J85" i="5" s="1"/>
  <c r="J84" i="5"/>
  <c r="I84" i="5"/>
  <c r="H85" i="5" s="1"/>
  <c r="H84" i="5"/>
  <c r="G84" i="5"/>
  <c r="F84" i="5"/>
  <c r="V83" i="5"/>
  <c r="T83" i="5"/>
  <c r="R83" i="5"/>
  <c r="U83" i="5"/>
  <c r="S83" i="5"/>
  <c r="Q83" i="5"/>
  <c r="E83" i="5"/>
  <c r="D83" i="5"/>
  <c r="B83" i="5"/>
  <c r="A83" i="5"/>
  <c r="Z82" i="5"/>
  <c r="Y82" i="5"/>
  <c r="X82" i="5"/>
  <c r="I81" i="5"/>
  <c r="H81" i="5"/>
  <c r="G81" i="5"/>
  <c r="E81" i="5"/>
  <c r="J80" i="5"/>
  <c r="I80" i="5"/>
  <c r="E80" i="5"/>
  <c r="K79" i="5"/>
  <c r="J79" i="5"/>
  <c r="E79" i="5"/>
  <c r="K78" i="5"/>
  <c r="J78" i="5"/>
  <c r="W78" i="5"/>
  <c r="I78" i="5"/>
  <c r="H78" i="5"/>
  <c r="G78" i="5"/>
  <c r="F78" i="5"/>
  <c r="V77" i="5"/>
  <c r="T77" i="5"/>
  <c r="K80" i="5" s="1"/>
  <c r="R77" i="5"/>
  <c r="U77" i="5"/>
  <c r="S77" i="5"/>
  <c r="Q77" i="5"/>
  <c r="I79" i="5" s="1"/>
  <c r="E77" i="5"/>
  <c r="D77" i="5"/>
  <c r="B77" i="5"/>
  <c r="A77" i="5"/>
  <c r="Z76" i="5"/>
  <c r="Y76" i="5"/>
  <c r="X76" i="5"/>
  <c r="I75" i="5"/>
  <c r="H75" i="5"/>
  <c r="G75" i="5"/>
  <c r="E75" i="5"/>
  <c r="J74" i="5"/>
  <c r="E74" i="5"/>
  <c r="J73" i="5"/>
  <c r="E73" i="5"/>
  <c r="K72" i="5"/>
  <c r="J72" i="5"/>
  <c r="I72" i="5"/>
  <c r="H72" i="5"/>
  <c r="G72" i="5"/>
  <c r="F72" i="5"/>
  <c r="V71" i="5"/>
  <c r="T71" i="5"/>
  <c r="K74" i="5" s="1"/>
  <c r="R71" i="5"/>
  <c r="K73" i="5" s="1"/>
  <c r="J76" i="5" s="1"/>
  <c r="U71" i="5"/>
  <c r="S71" i="5"/>
  <c r="I74" i="5" s="1"/>
  <c r="Q71" i="5"/>
  <c r="I73" i="5" s="1"/>
  <c r="E71" i="5"/>
  <c r="D71" i="5"/>
  <c r="B71" i="5"/>
  <c r="A71" i="5"/>
  <c r="Z70" i="5"/>
  <c r="Y70" i="5"/>
  <c r="X70" i="5"/>
  <c r="I69" i="5"/>
  <c r="H69" i="5"/>
  <c r="G69" i="5"/>
  <c r="E69" i="5"/>
  <c r="J68" i="5"/>
  <c r="I68" i="5"/>
  <c r="E68" i="5"/>
  <c r="K67" i="5"/>
  <c r="J67" i="5"/>
  <c r="E67" i="5"/>
  <c r="K66" i="5"/>
  <c r="J66" i="5"/>
  <c r="W66" i="5"/>
  <c r="I66" i="5"/>
  <c r="H70" i="5" s="1"/>
  <c r="H66" i="5"/>
  <c r="G66" i="5"/>
  <c r="F66" i="5"/>
  <c r="V65" i="5"/>
  <c r="T65" i="5"/>
  <c r="K68" i="5" s="1"/>
  <c r="R65" i="5"/>
  <c r="U65" i="5"/>
  <c r="S65" i="5"/>
  <c r="Q65" i="5"/>
  <c r="I67" i="5" s="1"/>
  <c r="E65" i="5"/>
  <c r="D65" i="5"/>
  <c r="B65" i="5"/>
  <c r="A65" i="5"/>
  <c r="Z64" i="5"/>
  <c r="Y64" i="5"/>
  <c r="X64" i="5"/>
  <c r="I63" i="5"/>
  <c r="H63" i="5"/>
  <c r="G63" i="5"/>
  <c r="E63" i="5"/>
  <c r="J62" i="5"/>
  <c r="E62" i="5"/>
  <c r="J61" i="5"/>
  <c r="E61" i="5"/>
  <c r="K60" i="5"/>
  <c r="J60" i="5"/>
  <c r="I60" i="5"/>
  <c r="H60" i="5"/>
  <c r="G60" i="5"/>
  <c r="F60" i="5"/>
  <c r="V59" i="5"/>
  <c r="T59" i="5"/>
  <c r="K62" i="5" s="1"/>
  <c r="R59" i="5"/>
  <c r="K61" i="5" s="1"/>
  <c r="U59" i="5"/>
  <c r="S59" i="5"/>
  <c r="I62" i="5" s="1"/>
  <c r="Q59" i="5"/>
  <c r="I61" i="5" s="1"/>
  <c r="E59" i="5"/>
  <c r="D59" i="5"/>
  <c r="B59" i="5"/>
  <c r="A59" i="5"/>
  <c r="Z58" i="5"/>
  <c r="Y58" i="5"/>
  <c r="X58" i="5"/>
  <c r="I57" i="5"/>
  <c r="H57" i="5"/>
  <c r="G57" i="5"/>
  <c r="E57" i="5"/>
  <c r="J56" i="5"/>
  <c r="I56" i="5"/>
  <c r="E56" i="5"/>
  <c r="K55" i="5"/>
  <c r="J55" i="5"/>
  <c r="E55" i="5"/>
  <c r="K54" i="5"/>
  <c r="J54" i="5"/>
  <c r="W54" i="5"/>
  <c r="I54" i="5"/>
  <c r="H54" i="5"/>
  <c r="G54" i="5"/>
  <c r="F54" i="5"/>
  <c r="V53" i="5"/>
  <c r="T53" i="5"/>
  <c r="K56" i="5" s="1"/>
  <c r="R53" i="5"/>
  <c r="U53" i="5"/>
  <c r="S53" i="5"/>
  <c r="Q53" i="5"/>
  <c r="I55" i="5" s="1"/>
  <c r="E53" i="5"/>
  <c r="D53" i="5"/>
  <c r="B53" i="5"/>
  <c r="A53" i="5"/>
  <c r="AA52" i="5"/>
  <c r="Z52" i="5"/>
  <c r="X52" i="5"/>
  <c r="I51" i="5"/>
  <c r="H51" i="5"/>
  <c r="G51" i="5"/>
  <c r="E51" i="5"/>
  <c r="J50" i="5"/>
  <c r="E50" i="5"/>
  <c r="J49" i="5"/>
  <c r="E49" i="5"/>
  <c r="J48" i="5"/>
  <c r="E48" i="5"/>
  <c r="K47" i="5"/>
  <c r="J47" i="5"/>
  <c r="I47" i="5"/>
  <c r="W47" i="5" s="1"/>
  <c r="H47" i="5"/>
  <c r="G47" i="5"/>
  <c r="F47" i="5"/>
  <c r="K46" i="5"/>
  <c r="J46" i="5"/>
  <c r="I46" i="5"/>
  <c r="H46" i="5"/>
  <c r="G46" i="5"/>
  <c r="F46" i="5"/>
  <c r="K45" i="5"/>
  <c r="J45" i="5"/>
  <c r="W45" i="5"/>
  <c r="I45" i="5"/>
  <c r="H45" i="5"/>
  <c r="G45" i="5"/>
  <c r="F45" i="5"/>
  <c r="V44" i="5"/>
  <c r="K50" i="5" s="1"/>
  <c r="T44" i="5"/>
  <c r="K49" i="5" s="1"/>
  <c r="R44" i="5"/>
  <c r="K48" i="5" s="1"/>
  <c r="U44" i="5"/>
  <c r="I50" i="5" s="1"/>
  <c r="S44" i="5"/>
  <c r="I49" i="5" s="1"/>
  <c r="Q44" i="5"/>
  <c r="I48" i="5" s="1"/>
  <c r="E44" i="5"/>
  <c r="D44" i="5"/>
  <c r="B44" i="5"/>
  <c r="A44" i="5"/>
  <c r="AA43" i="5"/>
  <c r="Z43" i="5"/>
  <c r="I24" i="5" s="1"/>
  <c r="X43" i="5"/>
  <c r="I22" i="5" s="1"/>
  <c r="I42" i="5"/>
  <c r="H42" i="5"/>
  <c r="G42" i="5"/>
  <c r="E42" i="5"/>
  <c r="J41" i="5"/>
  <c r="E41" i="5"/>
  <c r="J40" i="5"/>
  <c r="E40" i="5"/>
  <c r="J39" i="5"/>
  <c r="E39" i="5"/>
  <c r="K38" i="5"/>
  <c r="J38" i="5"/>
  <c r="I38" i="5"/>
  <c r="H38" i="5"/>
  <c r="G38" i="5"/>
  <c r="F38" i="5"/>
  <c r="K37" i="5"/>
  <c r="J37" i="5"/>
  <c r="I37" i="5"/>
  <c r="W37" i="5" s="1"/>
  <c r="H37" i="5"/>
  <c r="G37" i="5"/>
  <c r="F37" i="5"/>
  <c r="K36" i="5"/>
  <c r="J36" i="5"/>
  <c r="I36" i="5"/>
  <c r="H36" i="5"/>
  <c r="G36" i="5"/>
  <c r="F36" i="5"/>
  <c r="K35" i="5"/>
  <c r="J35" i="5"/>
  <c r="W35" i="5"/>
  <c r="I35" i="5"/>
  <c r="H35" i="5"/>
  <c r="G35" i="5"/>
  <c r="F35" i="5"/>
  <c r="V34" i="5"/>
  <c r="K41" i="5" s="1"/>
  <c r="T34" i="5"/>
  <c r="K40" i="5" s="1"/>
  <c r="R34" i="5"/>
  <c r="K39" i="5" s="1"/>
  <c r="U34" i="5"/>
  <c r="I41" i="5" s="1"/>
  <c r="S34" i="5"/>
  <c r="I40" i="5" s="1"/>
  <c r="Q34" i="5"/>
  <c r="I39" i="5" s="1"/>
  <c r="E34" i="5"/>
  <c r="D34" i="5"/>
  <c r="B34" i="5"/>
  <c r="A34" i="5"/>
  <c r="A33" i="5"/>
  <c r="A19" i="5"/>
  <c r="A16" i="5"/>
  <c r="G6" i="5"/>
  <c r="B6" i="5"/>
  <c r="A1" i="5"/>
  <c r="P52" i="5" l="1"/>
  <c r="H52" i="5"/>
  <c r="AA58" i="5"/>
  <c r="O58" i="5"/>
  <c r="J58" i="5"/>
  <c r="AA76" i="5"/>
  <c r="P76" i="5"/>
  <c r="AA82" i="5"/>
  <c r="O82" i="5"/>
  <c r="J82" i="5"/>
  <c r="P43" i="5"/>
  <c r="H43" i="5"/>
  <c r="Y43" i="5"/>
  <c r="Y52" i="5"/>
  <c r="H58" i="5"/>
  <c r="J64" i="5"/>
  <c r="AA64" i="5"/>
  <c r="I25" i="5" s="1"/>
  <c r="P64" i="5"/>
  <c r="AA70" i="5"/>
  <c r="O70" i="5"/>
  <c r="J70" i="5"/>
  <c r="H82" i="5"/>
  <c r="H64" i="5"/>
  <c r="J43" i="5"/>
  <c r="J52" i="5"/>
  <c r="P58" i="5"/>
  <c r="P70" i="5"/>
  <c r="H76" i="5"/>
  <c r="P82" i="5"/>
  <c r="P85" i="5"/>
  <c r="O85" i="5"/>
  <c r="AA85" i="5"/>
  <c r="O43" i="5"/>
  <c r="O52" i="5"/>
  <c r="W60" i="5"/>
  <c r="I26" i="5" s="1"/>
  <c r="O64" i="5"/>
  <c r="W72" i="5"/>
  <c r="O76" i="5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G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P24" i="1"/>
  <c r="R24" i="1"/>
  <c r="GK24" i="1" s="1"/>
  <c r="V24" i="1"/>
  <c r="AC24" i="1"/>
  <c r="AD24" i="1"/>
  <c r="AB24" i="1" s="1"/>
  <c r="AE24" i="1"/>
  <c r="Q24" i="1" s="1"/>
  <c r="AF24" i="1"/>
  <c r="AG24" i="1"/>
  <c r="AH24" i="1"/>
  <c r="CV24" i="1" s="1"/>
  <c r="U24" i="1" s="1"/>
  <c r="AI24" i="1"/>
  <c r="AJ24" i="1"/>
  <c r="CX24" i="1" s="1"/>
  <c r="W24" i="1" s="1"/>
  <c r="CQ24" i="1"/>
  <c r="CR24" i="1"/>
  <c r="CS24" i="1"/>
  <c r="CU24" i="1"/>
  <c r="T24" i="1" s="1"/>
  <c r="CW24" i="1"/>
  <c r="FR24" i="1"/>
  <c r="GL24" i="1"/>
  <c r="GN24" i="1"/>
  <c r="GP24" i="1"/>
  <c r="GV24" i="1"/>
  <c r="GX24" i="1"/>
  <c r="HC24" i="1"/>
  <c r="S25" i="1"/>
  <c r="CY25" i="1" s="1"/>
  <c r="X25" i="1" s="1"/>
  <c r="W25" i="1"/>
  <c r="AC25" i="1"/>
  <c r="AE25" i="1"/>
  <c r="AF25" i="1"/>
  <c r="AG25" i="1"/>
  <c r="CU25" i="1" s="1"/>
  <c r="T25" i="1" s="1"/>
  <c r="AH25" i="1"/>
  <c r="AI25" i="1"/>
  <c r="CW25" i="1" s="1"/>
  <c r="V25" i="1" s="1"/>
  <c r="AJ25" i="1"/>
  <c r="CR25" i="1"/>
  <c r="CT25" i="1"/>
  <c r="CV25" i="1"/>
  <c r="U25" i="1" s="1"/>
  <c r="CX25" i="1"/>
  <c r="FR25" i="1"/>
  <c r="GL25" i="1"/>
  <c r="GN25" i="1"/>
  <c r="GP25" i="1"/>
  <c r="GV25" i="1"/>
  <c r="HC25" i="1" s="1"/>
  <c r="GX25" i="1" s="1"/>
  <c r="P26" i="1"/>
  <c r="R26" i="1"/>
  <c r="GK26" i="1" s="1"/>
  <c r="T26" i="1"/>
  <c r="AC26" i="1"/>
  <c r="AD26" i="1"/>
  <c r="AB26" i="1" s="1"/>
  <c r="AE26" i="1"/>
  <c r="Q26" i="1" s="1"/>
  <c r="AF26" i="1"/>
  <c r="AG26" i="1"/>
  <c r="AH26" i="1"/>
  <c r="CV26" i="1" s="1"/>
  <c r="U26" i="1" s="1"/>
  <c r="AI26" i="1"/>
  <c r="AJ26" i="1"/>
  <c r="CX26" i="1" s="1"/>
  <c r="W26" i="1" s="1"/>
  <c r="CQ26" i="1"/>
  <c r="CR26" i="1"/>
  <c r="CS26" i="1"/>
  <c r="CU26" i="1"/>
  <c r="CW26" i="1"/>
  <c r="V26" i="1" s="1"/>
  <c r="FR26" i="1"/>
  <c r="GL26" i="1"/>
  <c r="GN26" i="1"/>
  <c r="GO26" i="1"/>
  <c r="GV26" i="1"/>
  <c r="GX26" i="1"/>
  <c r="HC26" i="1"/>
  <c r="S27" i="1"/>
  <c r="CY27" i="1" s="1"/>
  <c r="X27" i="1" s="1"/>
  <c r="W27" i="1"/>
  <c r="AC27" i="1"/>
  <c r="AE27" i="1"/>
  <c r="AF27" i="1"/>
  <c r="AG27" i="1"/>
  <c r="CU27" i="1" s="1"/>
  <c r="T27" i="1" s="1"/>
  <c r="AH27" i="1"/>
  <c r="AI27" i="1"/>
  <c r="CW27" i="1" s="1"/>
  <c r="V27" i="1" s="1"/>
  <c r="AJ27" i="1"/>
  <c r="CR27" i="1"/>
  <c r="CT27" i="1"/>
  <c r="CV27" i="1"/>
  <c r="U27" i="1" s="1"/>
  <c r="CX27" i="1"/>
  <c r="CZ27" i="1"/>
  <c r="Y27" i="1" s="1"/>
  <c r="FR27" i="1"/>
  <c r="GL27" i="1"/>
  <c r="GN27" i="1"/>
  <c r="GO27" i="1"/>
  <c r="GV27" i="1"/>
  <c r="HC27" i="1"/>
  <c r="GX27" i="1" s="1"/>
  <c r="P28" i="1"/>
  <c r="R28" i="1"/>
  <c r="GK28" i="1" s="1"/>
  <c r="V28" i="1"/>
  <c r="AC28" i="1"/>
  <c r="AD28" i="1"/>
  <c r="AB28" i="1" s="1"/>
  <c r="AE28" i="1"/>
  <c r="Q28" i="1" s="1"/>
  <c r="AF28" i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T28" i="1" s="1"/>
  <c r="CW28" i="1"/>
  <c r="FR28" i="1"/>
  <c r="GL28" i="1"/>
  <c r="GN28" i="1"/>
  <c r="GO28" i="1"/>
  <c r="GV28" i="1"/>
  <c r="GX28" i="1"/>
  <c r="HC28" i="1"/>
  <c r="S29" i="1"/>
  <c r="CY29" i="1" s="1"/>
  <c r="X29" i="1" s="1"/>
  <c r="U29" i="1"/>
  <c r="Y29" i="1"/>
  <c r="AC29" i="1"/>
  <c r="AE29" i="1"/>
  <c r="CR29" i="1" s="1"/>
  <c r="AF29" i="1"/>
  <c r="AG29" i="1"/>
  <c r="CU29" i="1" s="1"/>
  <c r="T29" i="1" s="1"/>
  <c r="AH29" i="1"/>
  <c r="AI29" i="1"/>
  <c r="CW29" i="1" s="1"/>
  <c r="V29" i="1" s="1"/>
  <c r="AJ29" i="1"/>
  <c r="CT29" i="1"/>
  <c r="CV29" i="1"/>
  <c r="CX29" i="1"/>
  <c r="W29" i="1" s="1"/>
  <c r="CZ29" i="1"/>
  <c r="FR29" i="1"/>
  <c r="GL29" i="1"/>
  <c r="GN29" i="1"/>
  <c r="GO29" i="1"/>
  <c r="GV29" i="1"/>
  <c r="HC29" i="1" s="1"/>
  <c r="GX29" i="1" s="1"/>
  <c r="P30" i="1"/>
  <c r="R30" i="1"/>
  <c r="GK30" i="1" s="1"/>
  <c r="T30" i="1"/>
  <c r="AC30" i="1"/>
  <c r="AD30" i="1"/>
  <c r="AB30" i="1" s="1"/>
  <c r="AE30" i="1"/>
  <c r="Q30" i="1" s="1"/>
  <c r="AF30" i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CW30" i="1"/>
  <c r="V30" i="1" s="1"/>
  <c r="AI33" i="1" s="1"/>
  <c r="FR30" i="1"/>
  <c r="GL30" i="1"/>
  <c r="GN30" i="1"/>
  <c r="GO30" i="1"/>
  <c r="GV30" i="1"/>
  <c r="HC30" i="1"/>
  <c r="GX30" i="1" s="1"/>
  <c r="P31" i="1"/>
  <c r="R31" i="1"/>
  <c r="AC31" i="1"/>
  <c r="AD31" i="1"/>
  <c r="AB31" i="1" s="1"/>
  <c r="AE31" i="1"/>
  <c r="Q31" i="1" s="1"/>
  <c r="AF31" i="1"/>
  <c r="S31" i="1" s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O31" i="1"/>
  <c r="GV31" i="1"/>
  <c r="HC31" i="1"/>
  <c r="GX31" i="1" s="1"/>
  <c r="B33" i="1"/>
  <c r="B22" i="1" s="1"/>
  <c r="C33" i="1"/>
  <c r="C22" i="1" s="1"/>
  <c r="D33" i="1"/>
  <c r="D22" i="1" s="1"/>
  <c r="F33" i="1"/>
  <c r="F22" i="1" s="1"/>
  <c r="G33" i="1"/>
  <c r="AO33" i="1"/>
  <c r="AO22" i="1" s="1"/>
  <c r="AQ33" i="1"/>
  <c r="AQ22" i="1" s="1"/>
  <c r="AS33" i="1"/>
  <c r="AS22" i="1" s="1"/>
  <c r="BC33" i="1"/>
  <c r="BC22" i="1" s="1"/>
  <c r="BX33" i="1"/>
  <c r="BX22" i="1" s="1"/>
  <c r="BY33" i="1"/>
  <c r="BY22" i="1" s="1"/>
  <c r="BZ33" i="1"/>
  <c r="BZ22" i="1" s="1"/>
  <c r="CB33" i="1"/>
  <c r="CB22" i="1" s="1"/>
  <c r="CG33" i="1"/>
  <c r="CG22" i="1" s="1"/>
  <c r="CI33" i="1"/>
  <c r="CI22" i="1" s="1"/>
  <c r="CK33" i="1"/>
  <c r="CK22" i="1" s="1"/>
  <c r="CL33" i="1"/>
  <c r="CL22" i="1" s="1"/>
  <c r="F37" i="1"/>
  <c r="F43" i="1"/>
  <c r="F49" i="1"/>
  <c r="B62" i="1"/>
  <c r="B18" i="1" s="1"/>
  <c r="C62" i="1"/>
  <c r="C18" i="1" s="1"/>
  <c r="D62" i="1"/>
  <c r="D18" i="1" s="1"/>
  <c r="F62" i="1"/>
  <c r="F18" i="1" s="1"/>
  <c r="G62" i="1"/>
  <c r="G18" i="1" s="1"/>
  <c r="AO62" i="1"/>
  <c r="AO18" i="1" s="1"/>
  <c r="AQ62" i="1"/>
  <c r="AQ18" i="1" s="1"/>
  <c r="AS62" i="1"/>
  <c r="AS18" i="1" s="1"/>
  <c r="BC62" i="1"/>
  <c r="BC18" i="1" s="1"/>
  <c r="F79" i="1"/>
  <c r="I23" i="5" l="1"/>
  <c r="J91" i="5"/>
  <c r="J87" i="5"/>
  <c r="I21" i="5"/>
  <c r="H87" i="5"/>
  <c r="H91" i="5"/>
  <c r="CY31" i="1"/>
  <c r="X31" i="1" s="1"/>
  <c r="CZ31" i="1"/>
  <c r="Y31" i="1" s="1"/>
  <c r="AI22" i="1"/>
  <c r="V33" i="1"/>
  <c r="AJ33" i="1"/>
  <c r="CP31" i="1"/>
  <c r="O31" i="1" s="1"/>
  <c r="AG33" i="1"/>
  <c r="CJ33" i="1"/>
  <c r="AH33" i="1"/>
  <c r="F78" i="1"/>
  <c r="F72" i="1"/>
  <c r="F66" i="1"/>
  <c r="F50" i="1"/>
  <c r="E16" i="2" s="1"/>
  <c r="BB33" i="1"/>
  <c r="AZ33" i="1"/>
  <c r="AX33" i="1"/>
  <c r="AP33" i="1"/>
  <c r="CT31" i="1"/>
  <c r="S30" i="1"/>
  <c r="CT30" i="1"/>
  <c r="P29" i="1"/>
  <c r="CQ29" i="1"/>
  <c r="R27" i="1"/>
  <c r="GK27" i="1" s="1"/>
  <c r="Q27" i="1"/>
  <c r="AD27" i="1"/>
  <c r="CS27" i="1"/>
  <c r="CZ25" i="1"/>
  <c r="Y25" i="1" s="1"/>
  <c r="S24" i="1"/>
  <c r="CT24" i="1"/>
  <c r="CP30" i="1"/>
  <c r="O30" i="1" s="1"/>
  <c r="R29" i="1"/>
  <c r="GK29" i="1" s="1"/>
  <c r="AD29" i="1"/>
  <c r="AB29" i="1" s="1"/>
  <c r="CS29" i="1"/>
  <c r="Q29" i="1"/>
  <c r="S28" i="1"/>
  <c r="CP28" i="1" s="1"/>
  <c r="O28" i="1" s="1"/>
  <c r="CT28" i="1"/>
  <c r="P27" i="1"/>
  <c r="CP27" i="1" s="1"/>
  <c r="O27" i="1" s="1"/>
  <c r="AB27" i="1"/>
  <c r="CQ27" i="1"/>
  <c r="P25" i="1"/>
  <c r="CQ25" i="1"/>
  <c r="S26" i="1"/>
  <c r="CT26" i="1"/>
  <c r="R25" i="1"/>
  <c r="AD25" i="1"/>
  <c r="AB25" i="1" s="1"/>
  <c r="CS25" i="1"/>
  <c r="Q25" i="1"/>
  <c r="AD33" i="1" s="1"/>
  <c r="CP24" i="1"/>
  <c r="O24" i="1" s="1"/>
  <c r="AD22" i="1" l="1"/>
  <c r="Q33" i="1"/>
  <c r="CP25" i="1"/>
  <c r="O25" i="1" s="1"/>
  <c r="AC33" i="1"/>
  <c r="GK25" i="1"/>
  <c r="AE33" i="1"/>
  <c r="CZ26" i="1"/>
  <c r="Y26" i="1" s="1"/>
  <c r="CY26" i="1"/>
  <c r="X26" i="1" s="1"/>
  <c r="CP26" i="1"/>
  <c r="O26" i="1" s="1"/>
  <c r="CZ24" i="1"/>
  <c r="Y24" i="1" s="1"/>
  <c r="CY24" i="1"/>
  <c r="X24" i="1" s="1"/>
  <c r="AF33" i="1"/>
  <c r="AX22" i="1"/>
  <c r="F40" i="1"/>
  <c r="AX62" i="1"/>
  <c r="BB22" i="1"/>
  <c r="F46" i="1"/>
  <c r="BB62" i="1"/>
  <c r="CJ22" i="1"/>
  <c r="BA33" i="1"/>
  <c r="GP31" i="1"/>
  <c r="GM31" i="1"/>
  <c r="V22" i="1"/>
  <c r="F56" i="1"/>
  <c r="V62" i="1"/>
  <c r="GP27" i="1"/>
  <c r="GM27" i="1"/>
  <c r="CZ28" i="1"/>
  <c r="Y28" i="1" s="1"/>
  <c r="CY28" i="1"/>
  <c r="X28" i="1" s="1"/>
  <c r="GM28" i="1" s="1"/>
  <c r="CP29" i="1"/>
  <c r="O29" i="1" s="1"/>
  <c r="CZ30" i="1"/>
  <c r="Y30" i="1" s="1"/>
  <c r="CY30" i="1"/>
  <c r="X30" i="1" s="1"/>
  <c r="GM30" i="1" s="1"/>
  <c r="AP22" i="1"/>
  <c r="F42" i="1"/>
  <c r="G16" i="2" s="1"/>
  <c r="G18" i="2" s="1"/>
  <c r="AP62" i="1"/>
  <c r="AZ22" i="1"/>
  <c r="F44" i="1"/>
  <c r="AZ62" i="1"/>
  <c r="E18" i="2"/>
  <c r="AH22" i="1"/>
  <c r="U33" i="1"/>
  <c r="AG22" i="1"/>
  <c r="T33" i="1"/>
  <c r="W33" i="1"/>
  <c r="AJ22" i="1"/>
  <c r="U22" i="1" l="1"/>
  <c r="U62" i="1"/>
  <c r="F55" i="1"/>
  <c r="AZ18" i="1"/>
  <c r="F73" i="1"/>
  <c r="W22" i="1"/>
  <c r="W62" i="1"/>
  <c r="F57" i="1"/>
  <c r="AP18" i="1"/>
  <c r="F71" i="1"/>
  <c r="V18" i="1"/>
  <c r="F85" i="1"/>
  <c r="AX18" i="1"/>
  <c r="F69" i="1"/>
  <c r="AK33" i="1"/>
  <c r="GP30" i="1"/>
  <c r="GM26" i="1"/>
  <c r="GP26" i="1"/>
  <c r="GO24" i="1"/>
  <c r="AC22" i="1"/>
  <c r="P33" i="1"/>
  <c r="CF33" i="1"/>
  <c r="CH33" i="1"/>
  <c r="CE33" i="1"/>
  <c r="Q22" i="1"/>
  <c r="F45" i="1"/>
  <c r="Q62" i="1"/>
  <c r="GP28" i="1"/>
  <c r="T22" i="1"/>
  <c r="T62" i="1"/>
  <c r="F54" i="1"/>
  <c r="GP29" i="1"/>
  <c r="GM29" i="1"/>
  <c r="BA22" i="1"/>
  <c r="F53" i="1"/>
  <c r="BA62" i="1"/>
  <c r="BB18" i="1"/>
  <c r="F75" i="1"/>
  <c r="AF22" i="1"/>
  <c r="S33" i="1"/>
  <c r="AL33" i="1"/>
  <c r="AE22" i="1"/>
  <c r="R33" i="1"/>
  <c r="AB33" i="1"/>
  <c r="GM24" i="1"/>
  <c r="CA33" i="1" s="1"/>
  <c r="GM25" i="1"/>
  <c r="GO25" i="1"/>
  <c r="CA22" i="1" l="1"/>
  <c r="AR33" i="1"/>
  <c r="F47" i="1"/>
  <c r="R62" i="1"/>
  <c r="R22" i="1"/>
  <c r="O33" i="1"/>
  <c r="AB22" i="1"/>
  <c r="S22" i="1"/>
  <c r="F48" i="1"/>
  <c r="J16" i="2" s="1"/>
  <c r="J18" i="2" s="1"/>
  <c r="S62" i="1"/>
  <c r="BA18" i="1"/>
  <c r="F82" i="1"/>
  <c r="T18" i="1"/>
  <c r="F83" i="1"/>
  <c r="CE22" i="1"/>
  <c r="AV33" i="1"/>
  <c r="CF22" i="1"/>
  <c r="AW33" i="1"/>
  <c r="CD33" i="1"/>
  <c r="U18" i="1"/>
  <c r="F84" i="1"/>
  <c r="AL22" i="1"/>
  <c r="Y33" i="1"/>
  <c r="Q18" i="1"/>
  <c r="F74" i="1"/>
  <c r="CH22" i="1"/>
  <c r="AY33" i="1"/>
  <c r="P22" i="1"/>
  <c r="P62" i="1"/>
  <c r="F36" i="1"/>
  <c r="CC33" i="1"/>
  <c r="AK22" i="1"/>
  <c r="X33" i="1"/>
  <c r="W18" i="1"/>
  <c r="F86" i="1"/>
  <c r="X22" i="1" l="1"/>
  <c r="X62" i="1"/>
  <c r="F58" i="1"/>
  <c r="P18" i="1"/>
  <c r="F65" i="1"/>
  <c r="AY22" i="1"/>
  <c r="F41" i="1"/>
  <c r="AY62" i="1"/>
  <c r="Y22" i="1"/>
  <c r="Y62" i="1"/>
  <c r="F59" i="1"/>
  <c r="AW22" i="1"/>
  <c r="F39" i="1"/>
  <c r="AW62" i="1"/>
  <c r="AV22" i="1"/>
  <c r="F38" i="1"/>
  <c r="AV62" i="1"/>
  <c r="S18" i="1"/>
  <c r="F77" i="1"/>
  <c r="O22" i="1"/>
  <c r="O62" i="1"/>
  <c r="F35" i="1"/>
  <c r="R18" i="1"/>
  <c r="F76" i="1"/>
  <c r="AR22" i="1"/>
  <c r="F60" i="1"/>
  <c r="AR62" i="1"/>
  <c r="CC22" i="1"/>
  <c r="AT33" i="1"/>
  <c r="CD22" i="1"/>
  <c r="AU33" i="1"/>
  <c r="AU22" i="1" l="1"/>
  <c r="F52" i="1"/>
  <c r="H16" i="2" s="1"/>
  <c r="H18" i="2" s="1"/>
  <c r="AU62" i="1"/>
  <c r="AR18" i="1"/>
  <c r="F89" i="1"/>
  <c r="F90" i="1" s="1"/>
  <c r="AW18" i="1"/>
  <c r="F68" i="1"/>
  <c r="Y18" i="1"/>
  <c r="F88" i="1"/>
  <c r="AY18" i="1"/>
  <c r="F70" i="1"/>
  <c r="X18" i="1"/>
  <c r="F87" i="1"/>
  <c r="AT22" i="1"/>
  <c r="AT62" i="1"/>
  <c r="F51" i="1"/>
  <c r="F16" i="2" s="1"/>
  <c r="O18" i="1"/>
  <c r="F64" i="1"/>
  <c r="AV18" i="1"/>
  <c r="F67" i="1"/>
  <c r="F18" i="2" l="1"/>
  <c r="I16" i="2"/>
  <c r="I18" i="2" s="1"/>
  <c r="AT18" i="1"/>
  <c r="F80" i="1"/>
  <c r="F91" i="1"/>
  <c r="F92" i="1" s="1"/>
  <c r="AU18" i="1"/>
  <c r="F81" i="1"/>
</calcChain>
</file>

<file path=xl/sharedStrings.xml><?xml version="1.0" encoding="utf-8"?>
<sst xmlns="http://schemas.openxmlformats.org/spreadsheetml/2006/main" count="946" uniqueCount="236">
  <si>
    <t>Smeta.RU  (495) 974-1589</t>
  </si>
  <si>
    <t>_PS_</t>
  </si>
  <si>
    <t>Smeta.RU</t>
  </si>
  <si>
    <t/>
  </si>
  <si>
    <t>ТП-515 - Замена Трансформаторов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</si>
  <si>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</si>
  <si>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</si>
  <si>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</si>
  <si>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</si>
  <si>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</si>
  <si>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</si>
  <si>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</si>
  <si>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</si>
  <si>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</si>
  <si>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</si>
  <si>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</si>
  <si>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</si>
  <si>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</si>
  <si>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</si>
  <si>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</si>
  <si>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Замена силовых трансформаторов</t>
  </si>
  <si>
    <t>1</t>
  </si>
  <si>
    <t>4.8-42-2</t>
  </si>
  <si>
    <t>ТРАНСФОРМАТОРЫ, АВТОТРАНСФОРМАТОРЫ И РЕАКТОРЫ, ТРАНСФОРМАТОР СИЛОВОЙ, АВТОТРАНСФОРМАТОР ИЛИ МАСЛЯНЫЙ РЕАКТОР, МАССА: ДО 3 Т</t>
  </si>
  <si>
    <t>шт.</t>
  </si>
  <si>
    <t>ТСН-2001.4. База. Сб.8, т.42, поз.2</t>
  </si>
  <si>
    <t>)*1,15</t>
  </si>
  <si>
    <t>Монтаж оборудования</t>
  </si>
  <si>
    <t>ТСН-2001.4-8. 8-28...8-72</t>
  </si>
  <si>
    <t>ТСН-2001.4-8-2</t>
  </si>
  <si>
    <t>Поправка: ТСН-2001.4. О.П. тб1. п.2</t>
  </si>
  <si>
    <t>2</t>
  </si>
  <si>
    <t>ДЕМОНТАЖ - ТРАНСФОРМАТОРЫ, АВТОТРАНСФОРМАТОРЫ И РЕАКТОРЫ, ТРАНСФОРМАТОР СИЛОВОЙ, АВТОТРАНСФОРМАТОР ИЛИ МАСЛЯНЫЙ РЕАКТОР, МАССА: ДО 3 Т</t>
  </si>
  <si>
    <t>)*0</t>
  </si>
  <si>
    <t>)*0,5)*1,15</t>
  </si>
  <si>
    <t>Поправка: ТСН-2001.4. О.П. п.6.1.1.1  Поправка: ТСН-2001.4. О.П. тб1. п.2</t>
  </si>
  <si>
    <t>3</t>
  </si>
  <si>
    <t>5.1-11-2</t>
  </si>
  <si>
    <t>ТРАНСФОРМАТОР ДВУХОБМОТОЧНЫЙ НАПРЯЖЕНИЕМ ДО 11 КВ, МОЩНОСТЬЮ МВА ДО 1,6</t>
  </si>
  <si>
    <t>ТСН-2001.5. База. Сб.1, т.11, поз.2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</si>
  <si>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</si>
  <si>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</si>
  <si>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</si>
  <si>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</si>
  <si>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</si>
  <si>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</si>
  <si>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4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</si>
  <si>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</si>
  <si>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</si>
  <si>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</si>
  <si>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</si>
  <si>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5</t>
  </si>
  <si>
    <t>5.1-158-2</t>
  </si>
  <si>
    <t>ФАЗИРОВКА ЭЛЕКТРИЧЕСКОЙ ЛИНИИ ИЛИ ТРАНСФОРМАТОРА С СЕТЬЮ НАПРЯЖЕНИЕМ СВЫШЕ 1 КВ</t>
  </si>
  <si>
    <t>ТСН-2001.5. База. Сб.1, т.158, поз.2</t>
  </si>
  <si>
    <t>6</t>
  </si>
  <si>
    <t>5.1-167-1</t>
  </si>
  <si>
    <t>ОБМОТКА ТРАНСФОРМАТОРА СИЛОВОГО</t>
  </si>
  <si>
    <t>испытание</t>
  </si>
  <si>
    <t>ТСН-2001.5. База. Сб.1, т.167, поз.1</t>
  </si>
  <si>
    <t>Поправка: 5.1/3  Наименование:  В действующих электроустановках, находящихся под напряжением, с оформлением наряда-допуска</t>
  </si>
  <si>
    <t>Поправка: 5.1/3</t>
  </si>
  <si>
    <t>7</t>
  </si>
  <si>
    <t>5.1-168-1</t>
  </si>
  <si>
    <t>ШИНЫ НАПРЯЖЕНИЕМ ДО 11 КВ</t>
  </si>
  <si>
    <t>ТСН-2001.5. База. Сб.1, т.168, поз.1</t>
  </si>
  <si>
    <t>8</t>
  </si>
  <si>
    <t>КТЦ 01/2012 500-9700-314</t>
  </si>
  <si>
    <t>Трнсформатор ТМГ 400-10/0,4</t>
  </si>
  <si>
    <t>Прочие работы</t>
  </si>
  <si>
    <t>МЦЦС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</si>
  <si>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</si>
  <si>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</si>
  <si>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</si>
  <si>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</si>
  <si>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</si>
  <si>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</si>
  <si>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</si>
  <si>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</si>
  <si>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</si>
  <si>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</si>
  <si>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</si>
  <si>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</si>
  <si>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</si>
  <si>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</si>
  <si>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</si>
  <si>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</si>
  <si>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</si>
  <si>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</si>
  <si>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</si>
  <si>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</si>
  <si>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</si>
  <si>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</si>
  <si>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</si>
  <si>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</si>
  <si>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</si>
  <si>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</si>
  <si>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</si>
  <si>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</si>
  <si>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</si>
  <si>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</si>
  <si>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</si>
  <si>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</si>
  <si>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</si>
  <si>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</si>
  <si>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</si>
  <si>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</si>
  <si>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</si>
  <si>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</si>
  <si>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</si>
  <si>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</si>
  <si>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</si>
  <si>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</si>
  <si>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</si>
  <si>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</si>
  <si>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</si>
  <si>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</si>
  <si>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</si>
  <si>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</si>
  <si>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</si>
  <si>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</si>
  <si>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</si>
  <si>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</si>
  <si>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</si>
  <si>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</si>
  <si>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</si>
  <si>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</si>
  <si>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</si>
  <si>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</si>
  <si>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</si>
  <si>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</si>
  <si>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</si>
  <si>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</si>
  <si>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п.2  Наименование: На предприятиях (в цехах на производственных площадях), остановленных для производства строительно-монтажных работ, а также в зданиях и сооружениях всех назначений при наличии в зоне производства работ загромоаждающих помещение предметов (станков, установок, аппаратов, эксплуатационного и лабораторного оборудования, оргтехники, мебели и т.п.)</t>
  </si>
  <si>
    <t>"СОГЛАСОВАНО"</t>
  </si>
  <si>
    <t>"УТВЕРЖДАЮ"</t>
  </si>
  <si>
    <t>Форма № 1б</t>
  </si>
  <si>
    <t>"_____"________________ 2021 г.</t>
  </si>
  <si>
    <t>Директор,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</si>
  <si>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</si>
  <si>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</si>
  <si>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</si>
  <si>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</si>
  <si>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</si>
  <si>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</si>
  <si>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</si>
  <si>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</si>
  <si>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</si>
  <si>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</si>
  <si>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</si>
  <si>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</si>
  <si>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</si>
  <si>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</si>
  <si>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</si>
  <si>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</si>
  <si>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</si>
  <si>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</si>
  <si>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ВСЕГО в базисном уровне цен, руб.</t>
  </si>
  <si>
    <t>Коэфф. пересчета и нормы НР и СП</t>
  </si>
  <si>
    <t>Всего в текущем уровне цен, 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</si>
  <si>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</si>
  <si>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</si>
  <si>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</si>
  <si>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</si>
  <si>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</si>
  <si>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</si>
  <si>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</si>
  <si>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</si>
  <si>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</si>
  <si>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</si>
  <si>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</si>
  <si>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 xml:space="preserve">   Итого по ТСН-2001.16</t>
  </si>
  <si>
    <t xml:space="preserve">   Итого возвратных сумм</t>
  </si>
  <si>
    <t xml:space="preserve">  тыс.руб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</si>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</sst>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0" xfId="0" applyFont="1" applyFill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17" fillId="0" borderId="0" xfId="0" applyFont="1"/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5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3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4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13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4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18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topLeftCell="A74" zoomScaleNormal="100" workbookViewId="0">
      <selection activeCell="A95" sqref="A95:XFD95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8" max="8" width="10.7109375" customWidth="1"/>
    <col min="9" max="11" width="12.7109375" customWidth="1"/>
    <col min="15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136</v>
      </c>
    </row>
    <row r="3" spans="1:11" ht="16.5" x14ac:dyDescent="0.25">
      <c r="A3" s="12"/>
      <c r="B3" s="65" t="s">
        <v>134</v>
      </c>
      <c r="C3" s="65"/>
      <c r="D3" s="65"/>
      <c r="E3" s="65"/>
      <c r="F3" s="11"/>
      <c r="G3" s="65" t="s">
        <v>135</v>
      </c>
      <c r="H3" s="65"/>
      <c r="I3" s="65"/>
      <c r="J3" s="65"/>
      <c r="K3" s="65"/>
    </row>
    <row r="4" spans="1:11" ht="14.25" x14ac:dyDescent="0.2">
      <c r="A4" s="11"/>
      <c r="B4" s="54"/>
      <c r="C4" s="54"/>
      <c r="D4" s="54"/>
      <c r="E4" s="54"/>
      <c r="F4" s="11"/>
      <c r="G4" s="54" t="s">
        <v>138</v>
      </c>
      <c r="H4" s="54"/>
      <c r="I4" s="54"/>
      <c r="J4" s="54"/>
      <c r="K4" s="54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4" t="str">
        <f>CONCATENATE("______________________ ", IF(Source!AL12&lt;&gt;"", Source!AL12, ""))</f>
        <v xml:space="preserve">______________________ </v>
      </c>
      <c r="C6" s="54"/>
      <c r="D6" s="54"/>
      <c r="E6" s="54"/>
      <c r="F6" s="11"/>
      <c r="G6" s="54" t="str">
        <f>CONCATENATE("______________________ ", IF(Source!AH12&lt;&gt;"", Source!AH12, ""))</f>
        <v>______________________ А.П. Воробьева</v>
      </c>
      <c r="H6" s="54"/>
      <c r="I6" s="54"/>
      <c r="J6" s="54"/>
      <c r="K6" s="54"/>
    </row>
    <row r="7" spans="1:11" ht="24.75" customHeight="1" x14ac:dyDescent="0.2">
      <c r="A7" s="16"/>
      <c r="B7" s="62" t="s">
        <v>137</v>
      </c>
      <c r="C7" s="62"/>
      <c r="D7" s="62"/>
      <c r="E7" s="62"/>
      <c r="F7" s="11"/>
      <c r="G7" s="62" t="s">
        <v>137</v>
      </c>
      <c r="H7" s="62"/>
      <c r="I7" s="62"/>
      <c r="J7" s="62"/>
      <c r="K7" s="62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3" t="str">
        <f>CONCATENATE( "ЛОКАЛЬНАЯ СМЕТА .  ",IF(Source!F12&lt;&gt;"Новый объект", Source!F12, ""))</f>
        <v>ЛОКАЛЬНАЯ СМЕТА .  ТП-515 - Замена Трансформаторов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0" t="s">
        <v>139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59" t="str">
        <f>IF(Source!G12&lt;&gt;"Новый объект", Source!G12, "")</f>
        <v>ТП-515 - Замена Трансформаторов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x14ac:dyDescent="0.2">
      <c r="A17" s="60" t="s">
        <v>140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 x14ac:dyDescent="0.2">
      <c r="A19" s="45" t="str">
        <f>CONCATENATE( "Основание: чертежи № ", Source!J12)</f>
        <v xml:space="preserve">Основание: чертежи № 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141</v>
      </c>
      <c r="J20" s="17" t="s">
        <v>142</v>
      </c>
      <c r="K20" s="11"/>
    </row>
    <row r="21" spans="1:11" ht="15" x14ac:dyDescent="0.25">
      <c r="A21" s="11"/>
      <c r="B21" s="11"/>
      <c r="C21" s="11"/>
      <c r="D21" s="11"/>
      <c r="E21" s="11"/>
      <c r="F21" s="54" t="s">
        <v>143</v>
      </c>
      <c r="G21" s="54"/>
      <c r="H21" s="54"/>
      <c r="I21" s="18">
        <f>SUM(O1:O93)/1000</f>
        <v>545.07456999999999</v>
      </c>
      <c r="J21" s="138">
        <f>(Source!F92/1000)</f>
        <v>870.73293999999999</v>
      </c>
      <c r="K21" s="31" t="s">
        <v>173</v>
      </c>
    </row>
    <row r="22" spans="1:11" ht="14.25" x14ac:dyDescent="0.2">
      <c r="A22" s="11"/>
      <c r="B22" s="11"/>
      <c r="C22" s="11"/>
      <c r="D22" s="11"/>
      <c r="E22" s="11"/>
      <c r="F22" s="54" t="s">
        <v>144</v>
      </c>
      <c r="G22" s="54"/>
      <c r="H22" s="54"/>
      <c r="I22" s="18">
        <f>SUM(X1:X93)/1000</f>
        <v>0</v>
      </c>
      <c r="J22" s="18">
        <f>(Source!F79)/1000</f>
        <v>0</v>
      </c>
      <c r="K22" s="11" t="s">
        <v>173</v>
      </c>
    </row>
    <row r="23" spans="1:11" ht="14.25" x14ac:dyDescent="0.2">
      <c r="A23" s="11"/>
      <c r="B23" s="11"/>
      <c r="C23" s="11"/>
      <c r="D23" s="11"/>
      <c r="E23" s="11"/>
      <c r="F23" s="54" t="s">
        <v>145</v>
      </c>
      <c r="G23" s="54"/>
      <c r="H23" s="54"/>
      <c r="I23" s="18">
        <f>SUM(Y1:Y93)/1000</f>
        <v>6.3792099999999987</v>
      </c>
      <c r="J23" s="18">
        <f>(Source!F80)/1000</f>
        <v>100.2651</v>
      </c>
      <c r="K23" s="11" t="s">
        <v>173</v>
      </c>
    </row>
    <row r="24" spans="1:11" ht="14.25" x14ac:dyDescent="0.2">
      <c r="A24" s="11"/>
      <c r="B24" s="11"/>
      <c r="C24" s="11"/>
      <c r="D24" s="11"/>
      <c r="E24" s="11"/>
      <c r="F24" s="54" t="s">
        <v>146</v>
      </c>
      <c r="G24" s="54"/>
      <c r="H24" s="54"/>
      <c r="I24" s="18">
        <f>SUM(Z1:Z93)/1000</f>
        <v>0</v>
      </c>
      <c r="J24" s="18">
        <f>(Source!F71)/1000</f>
        <v>0</v>
      </c>
      <c r="K24" s="11" t="s">
        <v>173</v>
      </c>
    </row>
    <row r="25" spans="1:11" ht="14.25" x14ac:dyDescent="0.2">
      <c r="A25" s="11"/>
      <c r="B25" s="11"/>
      <c r="C25" s="11"/>
      <c r="D25" s="11"/>
      <c r="E25" s="11"/>
      <c r="F25" s="54" t="s">
        <v>69</v>
      </c>
      <c r="G25" s="54"/>
      <c r="H25" s="54"/>
      <c r="I25" s="18">
        <f>SUM(AA1:AA93)/1000</f>
        <v>538.69535999999994</v>
      </c>
      <c r="J25" s="18">
        <f>(Source!F81+Source!F82)/1000</f>
        <v>625.34568000000002</v>
      </c>
      <c r="K25" s="11" t="s">
        <v>173</v>
      </c>
    </row>
    <row r="26" spans="1:11" ht="14.25" x14ac:dyDescent="0.2">
      <c r="A26" s="11"/>
      <c r="B26" s="11"/>
      <c r="C26" s="11"/>
      <c r="D26" s="11"/>
      <c r="E26" s="11"/>
      <c r="F26" s="54" t="s">
        <v>147</v>
      </c>
      <c r="G26" s="54"/>
      <c r="H26" s="54"/>
      <c r="I26" s="18">
        <f>SUM(W1:W93)/1000</f>
        <v>3.3891500000000003</v>
      </c>
      <c r="J26" s="18">
        <f>(Source!F77+ Source!F76)/1000</f>
        <v>84.118710000000007</v>
      </c>
      <c r="K26" s="11" t="s">
        <v>173</v>
      </c>
    </row>
    <row r="27" spans="1:11" ht="14.25" hidden="1" x14ac:dyDescent="0.2">
      <c r="A27" s="11"/>
      <c r="B27" s="11"/>
      <c r="C27" s="11"/>
      <c r="D27" s="11"/>
      <c r="E27" s="11"/>
      <c r="F27" s="19" t="s">
        <v>148</v>
      </c>
      <c r="G27" s="19"/>
      <c r="H27" s="19"/>
      <c r="I27" s="18"/>
      <c r="J27" s="18"/>
      <c r="K27" s="11"/>
    </row>
    <row r="28" spans="1:11" ht="14.25" hidden="1" x14ac:dyDescent="0.2">
      <c r="A28" s="11"/>
      <c r="B28" s="11"/>
      <c r="C28" s="11"/>
      <c r="D28" s="11"/>
      <c r="E28" s="11"/>
      <c r="F28" s="55" t="s">
        <v>110</v>
      </c>
      <c r="G28" s="56"/>
      <c r="H28" s="56"/>
      <c r="I28" s="18">
        <f>SUM(AE1:AE93)/1000</f>
        <v>0</v>
      </c>
      <c r="J28" s="18">
        <f>SUM(AF1:AF93)/1000</f>
        <v>0</v>
      </c>
      <c r="K28" s="11" t="s">
        <v>173</v>
      </c>
    </row>
    <row r="29" spans="1:11" ht="14.25" x14ac:dyDescent="0.2">
      <c r="A29" s="57" t="s">
        <v>160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</row>
    <row r="30" spans="1:11" ht="57" x14ac:dyDescent="0.2">
      <c r="A30" s="20" t="s">
        <v>149</v>
      </c>
      <c r="B30" s="20" t="s">
        <v>150</v>
      </c>
      <c r="C30" s="20" t="s">
        <v>151</v>
      </c>
      <c r="D30" s="20" t="s">
        <v>152</v>
      </c>
      <c r="E30" s="20" t="s">
        <v>153</v>
      </c>
      <c r="F30" s="20" t="s">
        <v>154</v>
      </c>
      <c r="G30" s="21" t="s">
        <v>155</v>
      </c>
      <c r="H30" s="21" t="s">
        <v>156</v>
      </c>
      <c r="I30" s="20" t="s">
        <v>157</v>
      </c>
      <c r="J30" s="20" t="s">
        <v>158</v>
      </c>
      <c r="K30" s="20" t="s">
        <v>159</v>
      </c>
    </row>
    <row r="31" spans="1:11" ht="14.25" x14ac:dyDescent="0.2">
      <c r="A31" s="20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  <c r="K31" s="20">
        <v>11</v>
      </c>
    </row>
    <row r="33" spans="1:27" ht="16.5" x14ac:dyDescent="0.25">
      <c r="A33" s="53" t="str">
        <f>CONCATENATE("Локальная смета: ",IF(Source!G20&lt;&gt;"Новая локальная смета", Source!G20, ""))</f>
        <v>Локальная смета: Замена силовых трансформаторов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</row>
    <row r="34" spans="1:27" ht="85.5" x14ac:dyDescent="0.2">
      <c r="A34" s="22" t="str">
        <f>Source!E24</f>
        <v>1</v>
      </c>
      <c r="B34" s="23" t="str">
        <f>Source!F24</f>
        <v>4.8-42-2</v>
      </c>
      <c r="C34" s="23" t="s">
        <v>23</v>
      </c>
      <c r="D34" s="24" t="str">
        <f>Source!H24</f>
        <v>шт.</v>
      </c>
      <c r="E34" s="10">
        <f>Source!I24</f>
        <v>2</v>
      </c>
      <c r="F34" s="26"/>
      <c r="G34" s="25"/>
      <c r="H34" s="10"/>
      <c r="I34" s="27"/>
      <c r="J34" s="10"/>
      <c r="K34" s="27"/>
      <c r="Q34">
        <f>ROUND((Source!DN24/100)*ROUND((ROUND((Source!AF24*Source!AV24*Source!I24),2)),2), 2)</f>
        <v>956.2</v>
      </c>
      <c r="R34">
        <f>Source!X24</f>
        <v>16030.07</v>
      </c>
      <c r="S34">
        <f>ROUND((Source!DO24/100)*ROUND((ROUND((Source!AF24*Source!AV24*Source!I24),2)),2), 2)</f>
        <v>561.98</v>
      </c>
      <c r="T34">
        <f>Source!Y24</f>
        <v>8535.49</v>
      </c>
      <c r="U34">
        <f>ROUND((175/100)*ROUND((ROUND((Source!AE24*Source!AV24*Source!I24),2)),2), 2)</f>
        <v>440.76</v>
      </c>
      <c r="V34">
        <f>ROUND((157/100)*ROUND(ROUND((ROUND((Source!AE24*Source!AV24*Source!I24),2)*Source!BS24),2), 2), 2)</f>
        <v>9814.34</v>
      </c>
    </row>
    <row r="35" spans="1:27" ht="14.25" x14ac:dyDescent="0.2">
      <c r="A35" s="22"/>
      <c r="B35" s="23"/>
      <c r="C35" s="23" t="s">
        <v>161</v>
      </c>
      <c r="D35" s="24"/>
      <c r="E35" s="10"/>
      <c r="F35" s="26">
        <f>Source!AO24</f>
        <v>348.31</v>
      </c>
      <c r="G35" s="25" t="str">
        <f>Source!DG24</f>
        <v>)*1,15</v>
      </c>
      <c r="H35" s="10">
        <f>Source!AV24</f>
        <v>1.0469999999999999</v>
      </c>
      <c r="I35" s="27">
        <f>ROUND((ROUND((Source!AF24*Source!AV24*Source!I24),2)),2)</f>
        <v>838.77</v>
      </c>
      <c r="J35" s="10">
        <f>IF(Source!BA24&lt;&gt; 0, Source!BA24, 1)</f>
        <v>24.82</v>
      </c>
      <c r="K35" s="27">
        <f>Source!S24</f>
        <v>20818.27</v>
      </c>
      <c r="W35">
        <f>I35</f>
        <v>838.77</v>
      </c>
    </row>
    <row r="36" spans="1:27" ht="14.25" x14ac:dyDescent="0.2">
      <c r="A36" s="22"/>
      <c r="B36" s="23"/>
      <c r="C36" s="23" t="s">
        <v>162</v>
      </c>
      <c r="D36" s="24"/>
      <c r="E36" s="10"/>
      <c r="F36" s="26">
        <f>Source!AM24</f>
        <v>450.39</v>
      </c>
      <c r="G36" s="25" t="str">
        <f>Source!DE24</f>
        <v>)*1,15</v>
      </c>
      <c r="H36" s="10">
        <f>Source!AV24</f>
        <v>1.0469999999999999</v>
      </c>
      <c r="I36" s="27">
        <f>(ROUND((ROUND((((Source!ET24*1.15))*Source!AV24*Source!I24),2)),2)+ROUND((ROUND(((Source!AE24-((Source!EU24*1.15)))*Source!AV24*Source!I24),2)),2))</f>
        <v>1084.58</v>
      </c>
      <c r="J36" s="10">
        <f>IF(Source!BB24&lt;&gt; 0, Source!BB24, 1)</f>
        <v>8.93</v>
      </c>
      <c r="K36" s="27">
        <f>Source!Q24</f>
        <v>9685.2999999999993</v>
      </c>
    </row>
    <row r="37" spans="1:27" ht="14.25" x14ac:dyDescent="0.2">
      <c r="A37" s="22"/>
      <c r="B37" s="23"/>
      <c r="C37" s="23" t="s">
        <v>163</v>
      </c>
      <c r="D37" s="24"/>
      <c r="E37" s="10"/>
      <c r="F37" s="26">
        <f>Source!AN24</f>
        <v>104.59</v>
      </c>
      <c r="G37" s="25" t="str">
        <f>Source!DF24</f>
        <v>)*1,15</v>
      </c>
      <c r="H37" s="10">
        <f>Source!AV24</f>
        <v>1.0469999999999999</v>
      </c>
      <c r="I37" s="28">
        <f>ROUND((ROUND((Source!AE24*Source!AV24*Source!I24),2)),2)</f>
        <v>251.86</v>
      </c>
      <c r="J37" s="10">
        <f>IF(Source!BS24&lt;&gt; 0, Source!BS24, 1)</f>
        <v>24.82</v>
      </c>
      <c r="K37" s="28">
        <f>Source!R24</f>
        <v>6251.17</v>
      </c>
      <c r="W37">
        <f>I37</f>
        <v>251.86</v>
      </c>
    </row>
    <row r="38" spans="1:27" ht="14.25" x14ac:dyDescent="0.2">
      <c r="A38" s="22"/>
      <c r="B38" s="23"/>
      <c r="C38" s="23" t="s">
        <v>164</v>
      </c>
      <c r="D38" s="24"/>
      <c r="E38" s="10"/>
      <c r="F38" s="26">
        <f>Source!AL24</f>
        <v>277.89999999999998</v>
      </c>
      <c r="G38" s="25" t="str">
        <f>Source!DD24</f>
        <v/>
      </c>
      <c r="H38" s="10">
        <f>Source!AW24</f>
        <v>1</v>
      </c>
      <c r="I38" s="27">
        <f>ROUND((ROUND((Source!AC24*Source!AW24*Source!I24),2)),2)</f>
        <v>555.79999999999995</v>
      </c>
      <c r="J38" s="10">
        <f>IF(Source!BC24&lt;&gt; 0, Source!BC24, 1)</f>
        <v>5.29</v>
      </c>
      <c r="K38" s="27">
        <f>Source!P24</f>
        <v>2940.18</v>
      </c>
    </row>
    <row r="39" spans="1:27" ht="14.25" x14ac:dyDescent="0.2">
      <c r="A39" s="22"/>
      <c r="B39" s="23"/>
      <c r="C39" s="23" t="s">
        <v>165</v>
      </c>
      <c r="D39" s="24" t="s">
        <v>166</v>
      </c>
      <c r="E39" s="10">
        <f>Source!DN24</f>
        <v>114</v>
      </c>
      <c r="F39" s="26"/>
      <c r="G39" s="25"/>
      <c r="H39" s="10"/>
      <c r="I39" s="27">
        <f>SUM(Q34:Q38)</f>
        <v>956.2</v>
      </c>
      <c r="J39" s="10">
        <f>Source!BZ24</f>
        <v>77</v>
      </c>
      <c r="K39" s="27">
        <f>SUM(R34:R38)</f>
        <v>16030.07</v>
      </c>
    </row>
    <row r="40" spans="1:27" ht="14.25" x14ac:dyDescent="0.2">
      <c r="A40" s="22"/>
      <c r="B40" s="23"/>
      <c r="C40" s="23" t="s">
        <v>167</v>
      </c>
      <c r="D40" s="24" t="s">
        <v>166</v>
      </c>
      <c r="E40" s="10">
        <f>Source!DO24</f>
        <v>67</v>
      </c>
      <c r="F40" s="26"/>
      <c r="G40" s="25"/>
      <c r="H40" s="10"/>
      <c r="I40" s="27">
        <f>SUM(S34:S39)</f>
        <v>561.98</v>
      </c>
      <c r="J40" s="10">
        <f>Source!CA24</f>
        <v>41</v>
      </c>
      <c r="K40" s="27">
        <f>SUM(T34:T39)</f>
        <v>8535.49</v>
      </c>
    </row>
    <row r="41" spans="1:27" ht="14.25" x14ac:dyDescent="0.2">
      <c r="A41" s="22"/>
      <c r="B41" s="23"/>
      <c r="C41" s="23" t="s">
        <v>168</v>
      </c>
      <c r="D41" s="24" t="s">
        <v>166</v>
      </c>
      <c r="E41" s="10">
        <f>175</f>
        <v>175</v>
      </c>
      <c r="F41" s="26"/>
      <c r="G41" s="25"/>
      <c r="H41" s="10"/>
      <c r="I41" s="27">
        <f>SUM(U34:U40)</f>
        <v>440.76</v>
      </c>
      <c r="J41" s="10">
        <f>157</f>
        <v>157</v>
      </c>
      <c r="K41" s="27">
        <f>SUM(V34:V40)</f>
        <v>9814.34</v>
      </c>
    </row>
    <row r="42" spans="1:27" ht="14.25" x14ac:dyDescent="0.2">
      <c r="A42" s="22"/>
      <c r="B42" s="23"/>
      <c r="C42" s="23" t="s">
        <v>169</v>
      </c>
      <c r="D42" s="24" t="s">
        <v>170</v>
      </c>
      <c r="E42" s="10">
        <f>Source!AQ24</f>
        <v>27.6</v>
      </c>
      <c r="F42" s="26"/>
      <c r="G42" s="25" t="str">
        <f>Source!DI24</f>
        <v>)*1,15</v>
      </c>
      <c r="H42" s="10">
        <f>Source!AV24</f>
        <v>1.0469999999999999</v>
      </c>
      <c r="I42" s="27">
        <f>Source!U24</f>
        <v>66.463559999999987</v>
      </c>
      <c r="J42" s="10"/>
      <c r="K42" s="27"/>
    </row>
    <row r="43" spans="1:27" ht="15" x14ac:dyDescent="0.25">
      <c r="A43" s="30"/>
      <c r="B43" s="30"/>
      <c r="C43" s="30"/>
      <c r="D43" s="30"/>
      <c r="E43" s="30"/>
      <c r="F43" s="30"/>
      <c r="G43" s="30"/>
      <c r="H43" s="52">
        <f>I35+I36+I38+I39+I40+I41</f>
        <v>4438.0899999999992</v>
      </c>
      <c r="I43" s="52"/>
      <c r="J43" s="52">
        <f>K35+K36+K38+K39+K40+K41</f>
        <v>67823.649999999994</v>
      </c>
      <c r="K43" s="52"/>
      <c r="O43" s="29">
        <f>I35+I36+I38+I39+I40+I41</f>
        <v>4438.0899999999992</v>
      </c>
      <c r="P43" s="29">
        <f>K35+K36+K38+K39+K40+K41</f>
        <v>67823.649999999994</v>
      </c>
      <c r="X43">
        <f>IF(Source!BI24&lt;=1,I35+I36+I38+I39+I40+I41-0, 0)</f>
        <v>0</v>
      </c>
      <c r="Y43">
        <f>IF(Source!BI24=2,I35+I36+I38+I39+I40+I41-0, 0)</f>
        <v>4438.0899999999992</v>
      </c>
      <c r="Z43">
        <f>IF(Source!BI24=3,I35+I36+I38+I39+I40+I41-0, 0)</f>
        <v>0</v>
      </c>
      <c r="AA43">
        <f>IF(Source!BI24=4,I35+I36+I38+I39+I40+I41,0)</f>
        <v>0</v>
      </c>
    </row>
    <row r="44" spans="1:27" ht="85.5" x14ac:dyDescent="0.2">
      <c r="A44" s="22" t="str">
        <f>Source!E25</f>
        <v>2</v>
      </c>
      <c r="B44" s="23" t="str">
        <f>Source!F25</f>
        <v>4.8-42-2</v>
      </c>
      <c r="C44" s="23" t="s">
        <v>32</v>
      </c>
      <c r="D44" s="24" t="str">
        <f>Source!H25</f>
        <v>шт.</v>
      </c>
      <c r="E44" s="10">
        <f>Source!I25</f>
        <v>2</v>
      </c>
      <c r="F44" s="26"/>
      <c r="G44" s="25"/>
      <c r="H44" s="10"/>
      <c r="I44" s="27"/>
      <c r="J44" s="10"/>
      <c r="K44" s="27"/>
      <c r="Q44">
        <f>ROUND((Source!DN25/100)*ROUND((ROUND((Source!AF25*Source!AV25*Source!I25),2)),2), 2)</f>
        <v>478.09</v>
      </c>
      <c r="R44">
        <f>Source!X25</f>
        <v>8014.94</v>
      </c>
      <c r="S44">
        <f>ROUND((Source!DO25/100)*ROUND((ROUND((Source!AF25*Source!AV25*Source!I25),2)),2), 2)</f>
        <v>280.98</v>
      </c>
      <c r="T44">
        <f>Source!Y25</f>
        <v>4267.6899999999996</v>
      </c>
      <c r="U44">
        <f>ROUND((175/100)*ROUND((ROUND((Source!AE25*Source!AV25*Source!I25),2)),2), 2)</f>
        <v>220.38</v>
      </c>
      <c r="V44">
        <f>ROUND((157/100)*ROUND(ROUND((ROUND((Source!AE25*Source!AV25*Source!I25),2)*Source!BS25),2), 2), 2)</f>
        <v>4907.16</v>
      </c>
    </row>
    <row r="45" spans="1:27" ht="14.25" x14ac:dyDescent="0.2">
      <c r="A45" s="22"/>
      <c r="B45" s="23"/>
      <c r="C45" s="23" t="s">
        <v>161</v>
      </c>
      <c r="D45" s="24"/>
      <c r="E45" s="10"/>
      <c r="F45" s="26">
        <f>Source!AO25</f>
        <v>348.31</v>
      </c>
      <c r="G45" s="25" t="str">
        <f>Source!DG25</f>
        <v>)*0,5)*1,15</v>
      </c>
      <c r="H45" s="10">
        <f>Source!AV25</f>
        <v>1.0469999999999999</v>
      </c>
      <c r="I45" s="27">
        <f>ROUND((ROUND((Source!AF25*Source!AV25*Source!I25),2)),2)</f>
        <v>419.38</v>
      </c>
      <c r="J45" s="10">
        <f>IF(Source!BA25&lt;&gt; 0, Source!BA25, 1)</f>
        <v>24.82</v>
      </c>
      <c r="K45" s="27">
        <f>Source!S25</f>
        <v>10409.01</v>
      </c>
      <c r="W45">
        <f>I45</f>
        <v>419.38</v>
      </c>
    </row>
    <row r="46" spans="1:27" ht="14.25" x14ac:dyDescent="0.2">
      <c r="A46" s="22"/>
      <c r="B46" s="23"/>
      <c r="C46" s="23" t="s">
        <v>162</v>
      </c>
      <c r="D46" s="24"/>
      <c r="E46" s="10"/>
      <c r="F46" s="26">
        <f>Source!AM25</f>
        <v>450.39</v>
      </c>
      <c r="G46" s="25" t="str">
        <f>Source!DE25</f>
        <v>)*0,5)*1,15</v>
      </c>
      <c r="H46" s="10">
        <f>Source!AV25</f>
        <v>1.0469999999999999</v>
      </c>
      <c r="I46" s="27">
        <f>(ROUND((ROUND(((((Source!ET25*0.5)*1.15))*Source!AV25*Source!I25),2)),2)+ROUND((ROUND(((Source!AE25-(((Source!EU25*0.5)*1.15)))*Source!AV25*Source!I25),2)),2))</f>
        <v>542.29</v>
      </c>
      <c r="J46" s="10">
        <f>IF(Source!BB25&lt;&gt; 0, Source!BB25, 1)</f>
        <v>8.93</v>
      </c>
      <c r="K46" s="27">
        <f>Source!Q25</f>
        <v>4842.6499999999996</v>
      </c>
    </row>
    <row r="47" spans="1:27" ht="14.25" x14ac:dyDescent="0.2">
      <c r="A47" s="22"/>
      <c r="B47" s="23"/>
      <c r="C47" s="23" t="s">
        <v>163</v>
      </c>
      <c r="D47" s="24"/>
      <c r="E47" s="10"/>
      <c r="F47" s="26">
        <f>Source!AN25</f>
        <v>104.59</v>
      </c>
      <c r="G47" s="25" t="str">
        <f>Source!DF25</f>
        <v>)*0,5)*1,15</v>
      </c>
      <c r="H47" s="10">
        <f>Source!AV25</f>
        <v>1.0469999999999999</v>
      </c>
      <c r="I47" s="28">
        <f>ROUND((ROUND((Source!AE25*Source!AV25*Source!I25),2)),2)</f>
        <v>125.93</v>
      </c>
      <c r="J47" s="10">
        <f>IF(Source!BS25&lt;&gt; 0, Source!BS25, 1)</f>
        <v>24.82</v>
      </c>
      <c r="K47" s="28">
        <f>Source!R25</f>
        <v>3125.58</v>
      </c>
      <c r="W47">
        <f>I47</f>
        <v>125.93</v>
      </c>
    </row>
    <row r="48" spans="1:27" ht="14.25" x14ac:dyDescent="0.2">
      <c r="A48" s="22"/>
      <c r="B48" s="23"/>
      <c r="C48" s="23" t="s">
        <v>165</v>
      </c>
      <c r="D48" s="24" t="s">
        <v>166</v>
      </c>
      <c r="E48" s="10">
        <f>Source!DN25</f>
        <v>114</v>
      </c>
      <c r="F48" s="26"/>
      <c r="G48" s="25"/>
      <c r="H48" s="10"/>
      <c r="I48" s="27">
        <f>SUM(Q44:Q47)</f>
        <v>478.09</v>
      </c>
      <c r="J48" s="10">
        <f>Source!BZ25</f>
        <v>77</v>
      </c>
      <c r="K48" s="27">
        <f>SUM(R44:R47)</f>
        <v>8014.94</v>
      </c>
    </row>
    <row r="49" spans="1:27" ht="14.25" x14ac:dyDescent="0.2">
      <c r="A49" s="22"/>
      <c r="B49" s="23"/>
      <c r="C49" s="23" t="s">
        <v>167</v>
      </c>
      <c r="D49" s="24" t="s">
        <v>166</v>
      </c>
      <c r="E49" s="10">
        <f>Source!DO25</f>
        <v>67</v>
      </c>
      <c r="F49" s="26"/>
      <c r="G49" s="25"/>
      <c r="H49" s="10"/>
      <c r="I49" s="27">
        <f>SUM(S44:S48)</f>
        <v>280.98</v>
      </c>
      <c r="J49" s="10">
        <f>Source!CA25</f>
        <v>41</v>
      </c>
      <c r="K49" s="27">
        <f>SUM(T44:T48)</f>
        <v>4267.6899999999996</v>
      </c>
    </row>
    <row r="50" spans="1:27" ht="14.25" x14ac:dyDescent="0.2">
      <c r="A50" s="22"/>
      <c r="B50" s="23"/>
      <c r="C50" s="23" t="s">
        <v>168</v>
      </c>
      <c r="D50" s="24" t="s">
        <v>166</v>
      </c>
      <c r="E50" s="10">
        <f>175</f>
        <v>175</v>
      </c>
      <c r="F50" s="26"/>
      <c r="G50" s="25"/>
      <c r="H50" s="10"/>
      <c r="I50" s="27">
        <f>SUM(U44:U49)</f>
        <v>220.38</v>
      </c>
      <c r="J50" s="10">
        <f>157</f>
        <v>157</v>
      </c>
      <c r="K50" s="27">
        <f>SUM(V44:V49)</f>
        <v>4907.16</v>
      </c>
    </row>
    <row r="51" spans="1:27" ht="14.25" x14ac:dyDescent="0.2">
      <c r="A51" s="22"/>
      <c r="B51" s="23"/>
      <c r="C51" s="23" t="s">
        <v>169</v>
      </c>
      <c r="D51" s="24" t="s">
        <v>170</v>
      </c>
      <c r="E51" s="10">
        <f>Source!AQ25</f>
        <v>27.6</v>
      </c>
      <c r="F51" s="26"/>
      <c r="G51" s="25" t="str">
        <f>Source!DI25</f>
        <v>)*0,5)*1,15</v>
      </c>
      <c r="H51" s="10">
        <f>Source!AV25</f>
        <v>1.0469999999999999</v>
      </c>
      <c r="I51" s="27">
        <f>Source!U25</f>
        <v>33.231779999999993</v>
      </c>
      <c r="J51" s="10"/>
      <c r="K51" s="27"/>
    </row>
    <row r="52" spans="1:27" ht="15" x14ac:dyDescent="0.25">
      <c r="A52" s="30"/>
      <c r="B52" s="30"/>
      <c r="C52" s="30"/>
      <c r="D52" s="30"/>
      <c r="E52" s="30"/>
      <c r="F52" s="30"/>
      <c r="G52" s="30"/>
      <c r="H52" s="52">
        <f>I45+I46+I48+I49+I50</f>
        <v>1941.12</v>
      </c>
      <c r="I52" s="52"/>
      <c r="J52" s="52">
        <f>K45+K46+K48+K49+K50</f>
        <v>32441.449999999997</v>
      </c>
      <c r="K52" s="52"/>
      <c r="O52" s="29">
        <f>I45+I46+I48+I49+I50</f>
        <v>1941.12</v>
      </c>
      <c r="P52" s="29">
        <f>K45+K46+K48+K49+K50</f>
        <v>32441.449999999997</v>
      </c>
      <c r="X52">
        <f>IF(Source!BI25&lt;=1,I45+I46+I48+I49+I50-0, 0)</f>
        <v>0</v>
      </c>
      <c r="Y52">
        <f>IF(Source!BI25=2,I45+I46+I48+I49+I50-0, 0)</f>
        <v>1941.12</v>
      </c>
      <c r="Z52">
        <f>IF(Source!BI25=3,I45+I46+I48+I49+I50-0, 0)</f>
        <v>0</v>
      </c>
      <c r="AA52">
        <f>IF(Source!BI25=4,I45+I46+I48+I49+I50,0)</f>
        <v>0</v>
      </c>
    </row>
    <row r="53" spans="1:27" ht="42.75" x14ac:dyDescent="0.2">
      <c r="A53" s="22" t="str">
        <f>Source!E26</f>
        <v>3</v>
      </c>
      <c r="B53" s="23" t="str">
        <f>Source!F26</f>
        <v>5.1-11-2</v>
      </c>
      <c r="C53" s="23" t="s">
        <v>38</v>
      </c>
      <c r="D53" s="24" t="str">
        <f>Source!H26</f>
        <v>шт.</v>
      </c>
      <c r="E53" s="10">
        <f>Source!I26</f>
        <v>2</v>
      </c>
      <c r="F53" s="26"/>
      <c r="G53" s="25"/>
      <c r="H53" s="10"/>
      <c r="I53" s="27"/>
      <c r="J53" s="10"/>
      <c r="K53" s="27"/>
      <c r="Q53">
        <f>ROUND((Source!DN26/100)*ROUND((ROUND((Source!AF26*Source!AV26*Source!I26),2)),2), 2)</f>
        <v>341.47</v>
      </c>
      <c r="R53">
        <f>Source!X26</f>
        <v>7684.2</v>
      </c>
      <c r="S53">
        <f>ROUND((Source!DO26/100)*ROUND((ROUND((Source!AF26*Source!AV26*Source!I26),2)),2), 2)</f>
        <v>318.7</v>
      </c>
      <c r="T53">
        <f>Source!Y26</f>
        <v>4633.12</v>
      </c>
      <c r="U53">
        <f>ROUND((175/100)*ROUND((ROUND((Source!AE26*Source!AV26*Source!I26),2)),2), 2)</f>
        <v>0</v>
      </c>
      <c r="V53">
        <f>ROUND((157/100)*ROUND(ROUND((ROUND((Source!AE26*Source!AV26*Source!I26),2)*Source!BS26),2), 2), 2)</f>
        <v>0</v>
      </c>
    </row>
    <row r="54" spans="1:27" ht="14.25" x14ac:dyDescent="0.2">
      <c r="A54" s="22"/>
      <c r="B54" s="23"/>
      <c r="C54" s="23" t="s">
        <v>161</v>
      </c>
      <c r="D54" s="24"/>
      <c r="E54" s="10"/>
      <c r="F54" s="26">
        <f>Source!AO26</f>
        <v>175.11</v>
      </c>
      <c r="G54" s="25" t="str">
        <f>Source!DG26</f>
        <v>)*1,3</v>
      </c>
      <c r="H54" s="10">
        <f>Source!AV26</f>
        <v>1</v>
      </c>
      <c r="I54" s="27">
        <f>ROUND((ROUND((Source!AF26*Source!AV26*Source!I26),2)),2)</f>
        <v>455.29</v>
      </c>
      <c r="J54" s="10">
        <f>IF(Source!BA26&lt;&gt; 0, Source!BA26, 1)</f>
        <v>24.82</v>
      </c>
      <c r="K54" s="27">
        <f>Source!S26</f>
        <v>11300.3</v>
      </c>
      <c r="W54">
        <f>I54</f>
        <v>455.29</v>
      </c>
    </row>
    <row r="55" spans="1:27" ht="14.25" x14ac:dyDescent="0.2">
      <c r="A55" s="22"/>
      <c r="B55" s="23"/>
      <c r="C55" s="23" t="s">
        <v>165</v>
      </c>
      <c r="D55" s="24" t="s">
        <v>166</v>
      </c>
      <c r="E55" s="10">
        <f>Source!DN26</f>
        <v>75</v>
      </c>
      <c r="F55" s="26"/>
      <c r="G55" s="25"/>
      <c r="H55" s="10"/>
      <c r="I55" s="27">
        <f>SUM(Q53:Q54)</f>
        <v>341.47</v>
      </c>
      <c r="J55" s="10">
        <f>Source!BZ26</f>
        <v>68</v>
      </c>
      <c r="K55" s="27">
        <f>SUM(R53:R54)</f>
        <v>7684.2</v>
      </c>
    </row>
    <row r="56" spans="1:27" ht="14.25" x14ac:dyDescent="0.2">
      <c r="A56" s="22"/>
      <c r="B56" s="23"/>
      <c r="C56" s="23" t="s">
        <v>167</v>
      </c>
      <c r="D56" s="24" t="s">
        <v>166</v>
      </c>
      <c r="E56" s="10">
        <f>Source!DO26</f>
        <v>70</v>
      </c>
      <c r="F56" s="26"/>
      <c r="G56" s="25"/>
      <c r="H56" s="10"/>
      <c r="I56" s="27">
        <f>SUM(S53:S55)</f>
        <v>318.7</v>
      </c>
      <c r="J56" s="10">
        <f>Source!CA26</f>
        <v>41</v>
      </c>
      <c r="K56" s="27">
        <f>SUM(T53:T55)</f>
        <v>4633.12</v>
      </c>
    </row>
    <row r="57" spans="1:27" ht="14.25" x14ac:dyDescent="0.2">
      <c r="A57" s="22"/>
      <c r="B57" s="23"/>
      <c r="C57" s="23" t="s">
        <v>169</v>
      </c>
      <c r="D57" s="24" t="s">
        <v>170</v>
      </c>
      <c r="E57" s="10">
        <f>Source!AQ26</f>
        <v>11</v>
      </c>
      <c r="F57" s="26"/>
      <c r="G57" s="25" t="str">
        <f>Source!DI26</f>
        <v>)*1,3</v>
      </c>
      <c r="H57" s="10">
        <f>Source!AV26</f>
        <v>1</v>
      </c>
      <c r="I57" s="27">
        <f>Source!U26</f>
        <v>28.6</v>
      </c>
      <c r="J57" s="10"/>
      <c r="K57" s="27"/>
    </row>
    <row r="58" spans="1:27" ht="15" x14ac:dyDescent="0.25">
      <c r="A58" s="30"/>
      <c r="B58" s="30"/>
      <c r="C58" s="30"/>
      <c r="D58" s="30"/>
      <c r="E58" s="30"/>
      <c r="F58" s="30"/>
      <c r="G58" s="30"/>
      <c r="H58" s="52">
        <f>I54+I55+I56</f>
        <v>1115.46</v>
      </c>
      <c r="I58" s="52"/>
      <c r="J58" s="52">
        <f>K54+K55+K56</f>
        <v>23617.62</v>
      </c>
      <c r="K58" s="52"/>
      <c r="O58" s="29">
        <f>I54+I55+I56</f>
        <v>1115.46</v>
      </c>
      <c r="P58" s="29">
        <f>K54+K55+K56</f>
        <v>23617.62</v>
      </c>
      <c r="X58">
        <f>IF(Source!BI26&lt;=1,I54+I55+I56-0, 0)</f>
        <v>0</v>
      </c>
      <c r="Y58">
        <f>IF(Source!BI26=2,I54+I55+I56-0, 0)</f>
        <v>0</v>
      </c>
      <c r="Z58">
        <f>IF(Source!BI26=3,I54+I55+I56-0, 0)</f>
        <v>0</v>
      </c>
      <c r="AA58">
        <f>IF(Source!BI26=4,I54+I55+I56,0)</f>
        <v>1115.46</v>
      </c>
    </row>
    <row r="59" spans="1:27" ht="42.75" x14ac:dyDescent="0.2">
      <c r="A59" s="22" t="str">
        <f>Source!E27</f>
        <v>4</v>
      </c>
      <c r="B59" s="23" t="str">
        <f>Source!F27</f>
        <v>5.1-158-1</v>
      </c>
      <c r="C59" s="23" t="s">
        <v>48</v>
      </c>
      <c r="D59" s="24" t="str">
        <f>Source!H27</f>
        <v>фазировка</v>
      </c>
      <c r="E59" s="10">
        <f>Source!I27</f>
        <v>2</v>
      </c>
      <c r="F59" s="26"/>
      <c r="G59" s="25"/>
      <c r="H59" s="10"/>
      <c r="I59" s="27"/>
      <c r="J59" s="10"/>
      <c r="K59" s="27"/>
      <c r="Q59">
        <f>ROUND((Source!DN27/100)*ROUND((ROUND((Source!AF27*Source!AV27*Source!I27),2)),2), 2)</f>
        <v>27.77</v>
      </c>
      <c r="R59">
        <f>Source!X27</f>
        <v>624.80999999999995</v>
      </c>
      <c r="S59">
        <f>ROUND((Source!DO27/100)*ROUND((ROUND((Source!AF27*Source!AV27*Source!I27),2)),2), 2)</f>
        <v>25.91</v>
      </c>
      <c r="T59">
        <f>Source!Y27</f>
        <v>376.72</v>
      </c>
      <c r="U59">
        <f>ROUND((175/100)*ROUND((ROUND((Source!AE27*Source!AV27*Source!I27),2)),2), 2)</f>
        <v>0</v>
      </c>
      <c r="V59">
        <f>ROUND((157/100)*ROUND(ROUND((ROUND((Source!AE27*Source!AV27*Source!I27),2)*Source!BS27),2), 2), 2)</f>
        <v>0</v>
      </c>
    </row>
    <row r="60" spans="1:27" ht="14.25" x14ac:dyDescent="0.2">
      <c r="A60" s="22"/>
      <c r="B60" s="23"/>
      <c r="C60" s="23" t="s">
        <v>161</v>
      </c>
      <c r="D60" s="24"/>
      <c r="E60" s="10"/>
      <c r="F60" s="26">
        <f>Source!AO27</f>
        <v>14.24</v>
      </c>
      <c r="G60" s="25" t="str">
        <f>Source!DG27</f>
        <v>)*1,3</v>
      </c>
      <c r="H60" s="10">
        <f>Source!AV27</f>
        <v>1</v>
      </c>
      <c r="I60" s="27">
        <f>ROUND((ROUND((Source!AF27*Source!AV27*Source!I27),2)),2)</f>
        <v>37.020000000000003</v>
      </c>
      <c r="J60" s="10">
        <f>IF(Source!BA27&lt;&gt; 0, Source!BA27, 1)</f>
        <v>24.82</v>
      </c>
      <c r="K60" s="27">
        <f>Source!S27</f>
        <v>918.84</v>
      </c>
      <c r="W60">
        <f>I60</f>
        <v>37.020000000000003</v>
      </c>
    </row>
    <row r="61" spans="1:27" ht="14.25" x14ac:dyDescent="0.2">
      <c r="A61" s="22"/>
      <c r="B61" s="23"/>
      <c r="C61" s="23" t="s">
        <v>165</v>
      </c>
      <c r="D61" s="24" t="s">
        <v>166</v>
      </c>
      <c r="E61" s="10">
        <f>Source!DN27</f>
        <v>75</v>
      </c>
      <c r="F61" s="26"/>
      <c r="G61" s="25"/>
      <c r="H61" s="10"/>
      <c r="I61" s="27">
        <f>SUM(Q59:Q60)</f>
        <v>27.77</v>
      </c>
      <c r="J61" s="10">
        <f>Source!BZ27</f>
        <v>68</v>
      </c>
      <c r="K61" s="27">
        <f>SUM(R59:R60)</f>
        <v>624.80999999999995</v>
      </c>
    </row>
    <row r="62" spans="1:27" ht="14.25" x14ac:dyDescent="0.2">
      <c r="A62" s="22"/>
      <c r="B62" s="23"/>
      <c r="C62" s="23" t="s">
        <v>167</v>
      </c>
      <c r="D62" s="24" t="s">
        <v>166</v>
      </c>
      <c r="E62" s="10">
        <f>Source!DO27</f>
        <v>70</v>
      </c>
      <c r="F62" s="26"/>
      <c r="G62" s="25"/>
      <c r="H62" s="10"/>
      <c r="I62" s="27">
        <f>SUM(S59:S61)</f>
        <v>25.91</v>
      </c>
      <c r="J62" s="10">
        <f>Source!CA27</f>
        <v>41</v>
      </c>
      <c r="K62" s="27">
        <f>SUM(T59:T61)</f>
        <v>376.72</v>
      </c>
    </row>
    <row r="63" spans="1:27" ht="14.25" x14ac:dyDescent="0.2">
      <c r="A63" s="22"/>
      <c r="B63" s="23"/>
      <c r="C63" s="23" t="s">
        <v>169</v>
      </c>
      <c r="D63" s="24" t="s">
        <v>170</v>
      </c>
      <c r="E63" s="10">
        <f>Source!AQ27</f>
        <v>0.9</v>
      </c>
      <c r="F63" s="26"/>
      <c r="G63" s="25" t="str">
        <f>Source!DI27</f>
        <v>)*1,3</v>
      </c>
      <c r="H63" s="10">
        <f>Source!AV27</f>
        <v>1</v>
      </c>
      <c r="I63" s="27">
        <f>Source!U27</f>
        <v>2.3400000000000003</v>
      </c>
      <c r="J63" s="10"/>
      <c r="K63" s="27"/>
    </row>
    <row r="64" spans="1:27" ht="15" x14ac:dyDescent="0.25">
      <c r="A64" s="30"/>
      <c r="B64" s="30"/>
      <c r="C64" s="30"/>
      <c r="D64" s="30"/>
      <c r="E64" s="30"/>
      <c r="F64" s="30"/>
      <c r="G64" s="30"/>
      <c r="H64" s="52">
        <f>I60+I61+I62</f>
        <v>90.7</v>
      </c>
      <c r="I64" s="52"/>
      <c r="J64" s="52">
        <f>K60+K61+K62</f>
        <v>1920.3700000000001</v>
      </c>
      <c r="K64" s="52"/>
      <c r="O64" s="29">
        <f>I60+I61+I62</f>
        <v>90.7</v>
      </c>
      <c r="P64" s="29">
        <f>K60+K61+K62</f>
        <v>1920.3700000000001</v>
      </c>
      <c r="X64">
        <f>IF(Source!BI27&lt;=1,I60+I61+I62-0, 0)</f>
        <v>0</v>
      </c>
      <c r="Y64">
        <f>IF(Source!BI27=2,I60+I61+I62-0, 0)</f>
        <v>0</v>
      </c>
      <c r="Z64">
        <f>IF(Source!BI27=3,I60+I61+I62-0, 0)</f>
        <v>0</v>
      </c>
      <c r="AA64">
        <f>IF(Source!BI27=4,I60+I61+I62,0)</f>
        <v>90.7</v>
      </c>
    </row>
    <row r="65" spans="1:27" ht="57" x14ac:dyDescent="0.2">
      <c r="A65" s="22" t="str">
        <f>Source!E28</f>
        <v>5</v>
      </c>
      <c r="B65" s="23" t="str">
        <f>Source!F28</f>
        <v>5.1-158-2</v>
      </c>
      <c r="C65" s="23" t="s">
        <v>53</v>
      </c>
      <c r="D65" s="24" t="str">
        <f>Source!H28</f>
        <v>фазировка</v>
      </c>
      <c r="E65" s="10">
        <f>Source!I28</f>
        <v>2</v>
      </c>
      <c r="F65" s="26"/>
      <c r="G65" s="25"/>
      <c r="H65" s="10"/>
      <c r="I65" s="27"/>
      <c r="J65" s="10"/>
      <c r="K65" s="27"/>
      <c r="Q65">
        <f>ROUND((Source!DN28/100)*ROUND((ROUND((Source!AF28*Source!AV28*Source!I28),2)),2), 2)</f>
        <v>55.55</v>
      </c>
      <c r="R65">
        <f>Source!X28</f>
        <v>1250.1300000000001</v>
      </c>
      <c r="S65">
        <f>ROUND((Source!DO28/100)*ROUND((ROUND((Source!AF28*Source!AV28*Source!I28),2)),2), 2)</f>
        <v>51.85</v>
      </c>
      <c r="T65">
        <f>Source!Y28</f>
        <v>753.75</v>
      </c>
      <c r="U65">
        <f>ROUND((175/100)*ROUND((ROUND((Source!AE28*Source!AV28*Source!I28),2)),2), 2)</f>
        <v>0</v>
      </c>
      <c r="V65">
        <f>ROUND((157/100)*ROUND(ROUND((ROUND((Source!AE28*Source!AV28*Source!I28),2)*Source!BS28),2), 2), 2)</f>
        <v>0</v>
      </c>
    </row>
    <row r="66" spans="1:27" ht="14.25" x14ac:dyDescent="0.2">
      <c r="A66" s="22"/>
      <c r="B66" s="23"/>
      <c r="C66" s="23" t="s">
        <v>161</v>
      </c>
      <c r="D66" s="24"/>
      <c r="E66" s="10"/>
      <c r="F66" s="26">
        <f>Source!AO28</f>
        <v>28.49</v>
      </c>
      <c r="G66" s="25" t="str">
        <f>Source!DG28</f>
        <v>)*1,3</v>
      </c>
      <c r="H66" s="10">
        <f>Source!AV28</f>
        <v>1</v>
      </c>
      <c r="I66" s="27">
        <f>ROUND((ROUND((Source!AF28*Source!AV28*Source!I28),2)),2)</f>
        <v>74.069999999999993</v>
      </c>
      <c r="J66" s="10">
        <f>IF(Source!BA28&lt;&gt; 0, Source!BA28, 1)</f>
        <v>24.82</v>
      </c>
      <c r="K66" s="27">
        <f>Source!S28</f>
        <v>1838.42</v>
      </c>
      <c r="W66">
        <f>I66</f>
        <v>74.069999999999993</v>
      </c>
    </row>
    <row r="67" spans="1:27" ht="14.25" x14ac:dyDescent="0.2">
      <c r="A67" s="22"/>
      <c r="B67" s="23"/>
      <c r="C67" s="23" t="s">
        <v>165</v>
      </c>
      <c r="D67" s="24" t="s">
        <v>166</v>
      </c>
      <c r="E67" s="10">
        <f>Source!DN28</f>
        <v>75</v>
      </c>
      <c r="F67" s="26"/>
      <c r="G67" s="25"/>
      <c r="H67" s="10"/>
      <c r="I67" s="27">
        <f>SUM(Q65:Q66)</f>
        <v>55.55</v>
      </c>
      <c r="J67" s="10">
        <f>Source!BZ28</f>
        <v>68</v>
      </c>
      <c r="K67" s="27">
        <f>SUM(R65:R66)</f>
        <v>1250.1300000000001</v>
      </c>
    </row>
    <row r="68" spans="1:27" ht="14.25" x14ac:dyDescent="0.2">
      <c r="A68" s="22"/>
      <c r="B68" s="23"/>
      <c r="C68" s="23" t="s">
        <v>167</v>
      </c>
      <c r="D68" s="24" t="s">
        <v>166</v>
      </c>
      <c r="E68" s="10">
        <f>Source!DO28</f>
        <v>70</v>
      </c>
      <c r="F68" s="26"/>
      <c r="G68" s="25"/>
      <c r="H68" s="10"/>
      <c r="I68" s="27">
        <f>SUM(S65:S67)</f>
        <v>51.85</v>
      </c>
      <c r="J68" s="10">
        <f>Source!CA28</f>
        <v>41</v>
      </c>
      <c r="K68" s="27">
        <f>SUM(T65:T67)</f>
        <v>753.75</v>
      </c>
    </row>
    <row r="69" spans="1:27" ht="14.25" x14ac:dyDescent="0.2">
      <c r="A69" s="22"/>
      <c r="B69" s="23"/>
      <c r="C69" s="23" t="s">
        <v>169</v>
      </c>
      <c r="D69" s="24" t="s">
        <v>170</v>
      </c>
      <c r="E69" s="10">
        <f>Source!AQ28</f>
        <v>1.8</v>
      </c>
      <c r="F69" s="26"/>
      <c r="G69" s="25" t="str">
        <f>Source!DI28</f>
        <v>)*1,3</v>
      </c>
      <c r="H69" s="10">
        <f>Source!AV28</f>
        <v>1</v>
      </c>
      <c r="I69" s="27">
        <f>Source!U28</f>
        <v>4.6800000000000006</v>
      </c>
      <c r="J69" s="10"/>
      <c r="K69" s="27"/>
    </row>
    <row r="70" spans="1:27" ht="15" x14ac:dyDescent="0.25">
      <c r="A70" s="30"/>
      <c r="B70" s="30"/>
      <c r="C70" s="30"/>
      <c r="D70" s="30"/>
      <c r="E70" s="30"/>
      <c r="F70" s="30"/>
      <c r="G70" s="30"/>
      <c r="H70" s="52">
        <f>I66+I67+I68</f>
        <v>181.47</v>
      </c>
      <c r="I70" s="52"/>
      <c r="J70" s="52">
        <f>K66+K67+K68</f>
        <v>3842.3</v>
      </c>
      <c r="K70" s="52"/>
      <c r="O70" s="29">
        <f>I66+I67+I68</f>
        <v>181.47</v>
      </c>
      <c r="P70" s="29">
        <f>K66+K67+K68</f>
        <v>3842.3</v>
      </c>
      <c r="X70">
        <f>IF(Source!BI28&lt;=1,I66+I67+I68-0, 0)</f>
        <v>0</v>
      </c>
      <c r="Y70">
        <f>IF(Source!BI28=2,I66+I67+I68-0, 0)</f>
        <v>0</v>
      </c>
      <c r="Z70">
        <f>IF(Source!BI28=3,I66+I67+I68-0, 0)</f>
        <v>0</v>
      </c>
      <c r="AA70">
        <f>IF(Source!BI28=4,I66+I67+I68,0)</f>
        <v>181.47</v>
      </c>
    </row>
    <row r="71" spans="1:27" ht="28.5" x14ac:dyDescent="0.2">
      <c r="A71" s="22" t="str">
        <f>Source!E29</f>
        <v>6</v>
      </c>
      <c r="B71" s="23" t="str">
        <f>Source!F29</f>
        <v>5.1-167-1</v>
      </c>
      <c r="C71" s="23" t="s">
        <v>57</v>
      </c>
      <c r="D71" s="24" t="str">
        <f>Source!H29</f>
        <v>испытание</v>
      </c>
      <c r="E71" s="10">
        <f>Source!I29</f>
        <v>4</v>
      </c>
      <c r="F71" s="26"/>
      <c r="G71" s="25"/>
      <c r="H71" s="10"/>
      <c r="I71" s="27"/>
      <c r="J71" s="10"/>
      <c r="K71" s="27"/>
      <c r="Q71">
        <f>ROUND((Source!DN29/100)*ROUND((ROUND((Source!AF29*Source!AV29*Source!I29),2)),2), 2)</f>
        <v>178.35</v>
      </c>
      <c r="R71">
        <f>Source!X29</f>
        <v>4013.5</v>
      </c>
      <c r="S71">
        <f>ROUND((Source!DO29/100)*ROUND((ROUND((Source!AF29*Source!AV29*Source!I29),2)),2), 2)</f>
        <v>166.46</v>
      </c>
      <c r="T71">
        <f>Source!Y29</f>
        <v>2419.9</v>
      </c>
      <c r="U71">
        <f>ROUND((175/100)*ROUND((ROUND((Source!AE29*Source!AV29*Source!I29),2)),2), 2)</f>
        <v>0</v>
      </c>
      <c r="V71">
        <f>ROUND((157/100)*ROUND(ROUND((ROUND((Source!AE29*Source!AV29*Source!I29),2)*Source!BS29),2), 2), 2)</f>
        <v>0</v>
      </c>
    </row>
    <row r="72" spans="1:27" ht="14.25" x14ac:dyDescent="0.2">
      <c r="A72" s="22"/>
      <c r="B72" s="23"/>
      <c r="C72" s="23" t="s">
        <v>161</v>
      </c>
      <c r="D72" s="24"/>
      <c r="E72" s="10"/>
      <c r="F72" s="26">
        <f>Source!AO29</f>
        <v>45.73</v>
      </c>
      <c r="G72" s="25" t="str">
        <f>Source!DG29</f>
        <v>)*1,3</v>
      </c>
      <c r="H72" s="10">
        <f>Source!AV29</f>
        <v>1</v>
      </c>
      <c r="I72" s="27">
        <f>ROUND((ROUND((Source!AF29*Source!AV29*Source!I29),2)),2)</f>
        <v>237.8</v>
      </c>
      <c r="J72" s="10">
        <f>IF(Source!BA29&lt;&gt; 0, Source!BA29, 1)</f>
        <v>24.82</v>
      </c>
      <c r="K72" s="27">
        <f>Source!S29</f>
        <v>5902.2</v>
      </c>
      <c r="W72">
        <f>I72</f>
        <v>237.8</v>
      </c>
    </row>
    <row r="73" spans="1:27" ht="14.25" x14ac:dyDescent="0.2">
      <c r="A73" s="22"/>
      <c r="B73" s="23"/>
      <c r="C73" s="23" t="s">
        <v>165</v>
      </c>
      <c r="D73" s="24" t="s">
        <v>166</v>
      </c>
      <c r="E73" s="10">
        <f>Source!DN29</f>
        <v>75</v>
      </c>
      <c r="F73" s="26"/>
      <c r="G73" s="25"/>
      <c r="H73" s="10"/>
      <c r="I73" s="27">
        <f>SUM(Q71:Q72)</f>
        <v>178.35</v>
      </c>
      <c r="J73" s="10">
        <f>Source!BZ29</f>
        <v>68</v>
      </c>
      <c r="K73" s="27">
        <f>SUM(R71:R72)</f>
        <v>4013.5</v>
      </c>
    </row>
    <row r="74" spans="1:27" ht="14.25" x14ac:dyDescent="0.2">
      <c r="A74" s="22"/>
      <c r="B74" s="23"/>
      <c r="C74" s="23" t="s">
        <v>167</v>
      </c>
      <c r="D74" s="24" t="s">
        <v>166</v>
      </c>
      <c r="E74" s="10">
        <f>Source!DO29</f>
        <v>70</v>
      </c>
      <c r="F74" s="26"/>
      <c r="G74" s="25"/>
      <c r="H74" s="10"/>
      <c r="I74" s="27">
        <f>SUM(S71:S73)</f>
        <v>166.46</v>
      </c>
      <c r="J74" s="10">
        <f>Source!CA29</f>
        <v>41</v>
      </c>
      <c r="K74" s="27">
        <f>SUM(T71:T73)</f>
        <v>2419.9</v>
      </c>
    </row>
    <row r="75" spans="1:27" ht="14.25" x14ac:dyDescent="0.2">
      <c r="A75" s="22"/>
      <c r="B75" s="23"/>
      <c r="C75" s="23" t="s">
        <v>169</v>
      </c>
      <c r="D75" s="24" t="s">
        <v>170</v>
      </c>
      <c r="E75" s="10">
        <f>Source!AQ29</f>
        <v>2.7</v>
      </c>
      <c r="F75" s="26"/>
      <c r="G75" s="25" t="str">
        <f>Source!DI29</f>
        <v>)*1,3</v>
      </c>
      <c r="H75" s="10">
        <f>Source!AV29</f>
        <v>1</v>
      </c>
      <c r="I75" s="27">
        <f>Source!U29</f>
        <v>14.040000000000001</v>
      </c>
      <c r="J75" s="10"/>
      <c r="K75" s="27"/>
    </row>
    <row r="76" spans="1:27" ht="15" x14ac:dyDescent="0.25">
      <c r="A76" s="30"/>
      <c r="B76" s="30"/>
      <c r="C76" s="30"/>
      <c r="D76" s="30"/>
      <c r="E76" s="30"/>
      <c r="F76" s="30"/>
      <c r="G76" s="30"/>
      <c r="H76" s="52">
        <f>I72+I73+I74</f>
        <v>582.61</v>
      </c>
      <c r="I76" s="52"/>
      <c r="J76" s="52">
        <f>K72+K73+K74</f>
        <v>12335.6</v>
      </c>
      <c r="K76" s="52"/>
      <c r="O76" s="29">
        <f>I72+I73+I74</f>
        <v>582.61</v>
      </c>
      <c r="P76" s="29">
        <f>K72+K73+K74</f>
        <v>12335.6</v>
      </c>
      <c r="X76">
        <f>IF(Source!BI29&lt;=1,I72+I73+I74-0, 0)</f>
        <v>0</v>
      </c>
      <c r="Y76">
        <f>IF(Source!BI29=2,I72+I73+I74-0, 0)</f>
        <v>0</v>
      </c>
      <c r="Z76">
        <f>IF(Source!BI29=3,I72+I73+I74-0, 0)</f>
        <v>0</v>
      </c>
      <c r="AA76">
        <f>IF(Source!BI29=4,I72+I73+I74,0)</f>
        <v>582.61</v>
      </c>
    </row>
    <row r="77" spans="1:27" ht="28.5" x14ac:dyDescent="0.2">
      <c r="A77" s="22" t="str">
        <f>Source!E30</f>
        <v>7</v>
      </c>
      <c r="B77" s="23" t="str">
        <f>Source!F30</f>
        <v>5.1-168-1</v>
      </c>
      <c r="C77" s="23" t="s">
        <v>64</v>
      </c>
      <c r="D77" s="24" t="str">
        <f>Source!H30</f>
        <v>испытание</v>
      </c>
      <c r="E77" s="10">
        <f>Source!I30</f>
        <v>6</v>
      </c>
      <c r="F77" s="26"/>
      <c r="G77" s="25"/>
      <c r="H77" s="10"/>
      <c r="I77" s="27"/>
      <c r="J77" s="10"/>
      <c r="K77" s="27"/>
      <c r="Q77">
        <f>ROUND((Source!DN30/100)*ROUND((ROUND((Source!AF30*Source!AV30*Source!I30),2)),2), 2)</f>
        <v>711.77</v>
      </c>
      <c r="R77">
        <f>Source!X30</f>
        <v>16017.35</v>
      </c>
      <c r="S77">
        <f>ROUND((Source!DO30/100)*ROUND((ROUND((Source!AF30*Source!AV30*Source!I30),2)),2), 2)</f>
        <v>664.32</v>
      </c>
      <c r="T77">
        <f>Source!Y30</f>
        <v>9657.52</v>
      </c>
      <c r="U77">
        <f>ROUND((175/100)*ROUND((ROUND((Source!AE30*Source!AV30*Source!I30),2)),2), 2)</f>
        <v>0</v>
      </c>
      <c r="V77">
        <f>ROUND((157/100)*ROUND(ROUND((ROUND((Source!AE30*Source!AV30*Source!I30),2)*Source!BS30),2), 2), 2)</f>
        <v>0</v>
      </c>
    </row>
    <row r="78" spans="1:27" ht="14.25" x14ac:dyDescent="0.2">
      <c r="A78" s="22"/>
      <c r="B78" s="23"/>
      <c r="C78" s="23" t="s">
        <v>161</v>
      </c>
      <c r="D78" s="24"/>
      <c r="E78" s="10"/>
      <c r="F78" s="26">
        <f>Source!AO30</f>
        <v>121.67</v>
      </c>
      <c r="G78" s="25" t="str">
        <f>Source!DG30</f>
        <v>)*1,3</v>
      </c>
      <c r="H78" s="10">
        <f>Source!AV30</f>
        <v>1</v>
      </c>
      <c r="I78" s="27">
        <f>ROUND((ROUND((Source!AF30*Source!AV30*Source!I30),2)),2)</f>
        <v>949.03</v>
      </c>
      <c r="J78" s="10">
        <f>IF(Source!BA30&lt;&gt; 0, Source!BA30, 1)</f>
        <v>24.82</v>
      </c>
      <c r="K78" s="27">
        <f>Source!S30</f>
        <v>23554.92</v>
      </c>
      <c r="W78">
        <f>I78</f>
        <v>949.03</v>
      </c>
    </row>
    <row r="79" spans="1:27" ht="14.25" x14ac:dyDescent="0.2">
      <c r="A79" s="22"/>
      <c r="B79" s="23"/>
      <c r="C79" s="23" t="s">
        <v>165</v>
      </c>
      <c r="D79" s="24" t="s">
        <v>166</v>
      </c>
      <c r="E79" s="10">
        <f>Source!DN30</f>
        <v>75</v>
      </c>
      <c r="F79" s="26"/>
      <c r="G79" s="25"/>
      <c r="H79" s="10"/>
      <c r="I79" s="27">
        <f>SUM(Q77:Q78)</f>
        <v>711.77</v>
      </c>
      <c r="J79" s="10">
        <f>Source!BZ30</f>
        <v>68</v>
      </c>
      <c r="K79" s="27">
        <f>SUM(R77:R78)</f>
        <v>16017.35</v>
      </c>
    </row>
    <row r="80" spans="1:27" ht="14.25" x14ac:dyDescent="0.2">
      <c r="A80" s="22"/>
      <c r="B80" s="23"/>
      <c r="C80" s="23" t="s">
        <v>167</v>
      </c>
      <c r="D80" s="24" t="s">
        <v>166</v>
      </c>
      <c r="E80" s="10">
        <f>Source!DO30</f>
        <v>70</v>
      </c>
      <c r="F80" s="26"/>
      <c r="G80" s="25"/>
      <c r="H80" s="10"/>
      <c r="I80" s="27">
        <f>SUM(S77:S79)</f>
        <v>664.32</v>
      </c>
      <c r="J80" s="10">
        <f>Source!CA30</f>
        <v>41</v>
      </c>
      <c r="K80" s="27">
        <f>SUM(T77:T79)</f>
        <v>9657.52</v>
      </c>
    </row>
    <row r="81" spans="1:27" ht="14.25" x14ac:dyDescent="0.2">
      <c r="A81" s="22"/>
      <c r="B81" s="23"/>
      <c r="C81" s="23" t="s">
        <v>169</v>
      </c>
      <c r="D81" s="24" t="s">
        <v>170</v>
      </c>
      <c r="E81" s="10">
        <f>Source!AQ30</f>
        <v>8.1</v>
      </c>
      <c r="F81" s="26"/>
      <c r="G81" s="25" t="str">
        <f>Source!DI30</f>
        <v>)*1,3</v>
      </c>
      <c r="H81" s="10">
        <f>Source!AV30</f>
        <v>1</v>
      </c>
      <c r="I81" s="27">
        <f>Source!U30</f>
        <v>63.179999999999993</v>
      </c>
      <c r="J81" s="10"/>
      <c r="K81" s="27"/>
    </row>
    <row r="82" spans="1:27" ht="15" x14ac:dyDescent="0.25">
      <c r="A82" s="30"/>
      <c r="B82" s="30"/>
      <c r="C82" s="30"/>
      <c r="D82" s="30"/>
      <c r="E82" s="30"/>
      <c r="F82" s="30"/>
      <c r="G82" s="30"/>
      <c r="H82" s="52">
        <f>I78+I79+I80</f>
        <v>2325.12</v>
      </c>
      <c r="I82" s="52"/>
      <c r="J82" s="52">
        <f>K78+K79+K80</f>
        <v>49229.789999999994</v>
      </c>
      <c r="K82" s="52"/>
      <c r="O82" s="29">
        <f>I78+I79+I80</f>
        <v>2325.12</v>
      </c>
      <c r="P82" s="29">
        <f>K78+K79+K80</f>
        <v>49229.789999999994</v>
      </c>
      <c r="X82">
        <f>IF(Source!BI30&lt;=1,I78+I79+I80-0, 0)</f>
        <v>0</v>
      </c>
      <c r="Y82">
        <f>IF(Source!BI30=2,I78+I79+I80-0, 0)</f>
        <v>0</v>
      </c>
      <c r="Z82">
        <f>IF(Source!BI30=3,I78+I79+I80-0, 0)</f>
        <v>0</v>
      </c>
      <c r="AA82">
        <f>IF(Source!BI30=4,I78+I79+I80,0)</f>
        <v>2325.12</v>
      </c>
    </row>
    <row r="83" spans="1:27" ht="57" x14ac:dyDescent="0.2">
      <c r="A83" s="22" t="str">
        <f>Source!E31</f>
        <v>8</v>
      </c>
      <c r="B83" s="23" t="str">
        <f>Source!F31</f>
        <v>КТЦ 01/2012 500-9700-314</v>
      </c>
      <c r="C83" s="23" t="s">
        <v>68</v>
      </c>
      <c r="D83" s="24" t="str">
        <f>Source!H31</f>
        <v>шт.</v>
      </c>
      <c r="E83" s="10">
        <f>Source!I31</f>
        <v>2</v>
      </c>
      <c r="F83" s="26"/>
      <c r="G83" s="25"/>
      <c r="H83" s="10"/>
      <c r="I83" s="27"/>
      <c r="J83" s="10"/>
      <c r="K83" s="27"/>
      <c r="Q83">
        <f>ROUND((Source!DN31/100)*ROUND((ROUND((Source!AF31*Source!AV31*Source!I31),2)),2), 2)</f>
        <v>0</v>
      </c>
      <c r="R83">
        <f>Source!X31</f>
        <v>0</v>
      </c>
      <c r="S83">
        <f>ROUND((Source!DO31/100)*ROUND((ROUND((Source!AF31*Source!AV31*Source!I31),2)),2), 2)</f>
        <v>0</v>
      </c>
      <c r="T83">
        <f>Source!Y31</f>
        <v>0</v>
      </c>
      <c r="U83">
        <f>ROUND((175/100)*ROUND((ROUND((Source!AE31*Source!AV31*Source!I31),2)),2), 2)</f>
        <v>0</v>
      </c>
      <c r="V83">
        <f>ROUND((157/100)*ROUND(ROUND((ROUND((Source!AE31*Source!AV31*Source!I31),2)*Source!BS31),2), 2), 2)</f>
        <v>0</v>
      </c>
    </row>
    <row r="84" spans="1:27" ht="14.25" x14ac:dyDescent="0.2">
      <c r="A84" s="22"/>
      <c r="B84" s="23"/>
      <c r="C84" s="23" t="s">
        <v>164</v>
      </c>
      <c r="D84" s="24"/>
      <c r="E84" s="10"/>
      <c r="F84" s="26">
        <f>Source!AL31</f>
        <v>267200</v>
      </c>
      <c r="G84" s="25" t="str">
        <f>Source!DD31</f>
        <v/>
      </c>
      <c r="H84" s="10">
        <f>Source!AW31</f>
        <v>1</v>
      </c>
      <c r="I84" s="27">
        <f>ROUND((ROUND((Source!AC31*Source!AW31*Source!I31),2)),2)</f>
        <v>534400</v>
      </c>
      <c r="J84" s="10">
        <f>IF(Source!BC31&lt;&gt; 0, Source!BC31, 1)</f>
        <v>1</v>
      </c>
      <c r="K84" s="27">
        <f>Source!P31</f>
        <v>534400</v>
      </c>
    </row>
    <row r="85" spans="1:27" ht="15" x14ac:dyDescent="0.25">
      <c r="A85" s="30"/>
      <c r="B85" s="30"/>
      <c r="C85" s="30"/>
      <c r="D85" s="30"/>
      <c r="E85" s="30"/>
      <c r="F85" s="30"/>
      <c r="G85" s="30"/>
      <c r="H85" s="52">
        <f>I84</f>
        <v>534400</v>
      </c>
      <c r="I85" s="52"/>
      <c r="J85" s="52">
        <f>K84</f>
        <v>534400</v>
      </c>
      <c r="K85" s="52"/>
      <c r="O85" s="29">
        <f>I84</f>
        <v>534400</v>
      </c>
      <c r="P85" s="29">
        <f>K84</f>
        <v>534400</v>
      </c>
      <c r="X85">
        <f>IF(Source!BI31&lt;=1,I84-0, 0)</f>
        <v>0</v>
      </c>
      <c r="Y85">
        <f>IF(Source!BI31=2,I84-0, 0)</f>
        <v>0</v>
      </c>
      <c r="Z85">
        <f>IF(Source!BI31=3,I84-0, 0)</f>
        <v>0</v>
      </c>
      <c r="AA85">
        <f>IF(Source!BI31=4,I84,0)</f>
        <v>534400</v>
      </c>
    </row>
    <row r="87" spans="1:27" ht="15" x14ac:dyDescent="0.25">
      <c r="A87" s="49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87" s="49"/>
      <c r="C87" s="49"/>
      <c r="D87" s="49"/>
      <c r="E87" s="49"/>
      <c r="F87" s="49"/>
      <c r="G87" s="49"/>
      <c r="H87" s="50">
        <f>SUM(O33:O86)</f>
        <v>545074.56999999995</v>
      </c>
      <c r="I87" s="51"/>
      <c r="J87" s="50">
        <f>SUM(P33:P86)</f>
        <v>725610.78</v>
      </c>
      <c r="K87" s="51"/>
    </row>
    <row r="88" spans="1:27" hidden="1" x14ac:dyDescent="0.2">
      <c r="A88" t="s">
        <v>171</v>
      </c>
      <c r="I88">
        <f>SUM(AC33:AC87)</f>
        <v>0</v>
      </c>
      <c r="J88">
        <f>SUM(AD33:AD87)</f>
        <v>0</v>
      </c>
    </row>
    <row r="89" spans="1:27" hidden="1" x14ac:dyDescent="0.2">
      <c r="A89" t="s">
        <v>172</v>
      </c>
      <c r="I89">
        <f>SUM(AE33:AE88)</f>
        <v>0</v>
      </c>
      <c r="J89">
        <f>SUM(AF33:AF88)</f>
        <v>0</v>
      </c>
    </row>
    <row r="91" spans="1:27" ht="15" x14ac:dyDescent="0.25">
      <c r="A91" s="49" t="str">
        <f>CONCATENATE("Итого по смете: ",IF(Source!G62&lt;&gt;"Новый объект", Source!G62, ""))</f>
        <v>Итого по смете: ТП-515 - Замена Трансформаторов</v>
      </c>
      <c r="B91" s="49"/>
      <c r="C91" s="49"/>
      <c r="D91" s="49"/>
      <c r="E91" s="49"/>
      <c r="F91" s="49"/>
      <c r="G91" s="49"/>
      <c r="H91" s="50">
        <f>SUM(O1:O90)</f>
        <v>545074.56999999995</v>
      </c>
      <c r="I91" s="51"/>
      <c r="J91" s="50">
        <f>SUM(P1:P90)</f>
        <v>725610.78</v>
      </c>
      <c r="K91" s="51"/>
    </row>
    <row r="92" spans="1:27" hidden="1" x14ac:dyDescent="0.2">
      <c r="A92" t="s">
        <v>171</v>
      </c>
      <c r="I92">
        <f>SUM(AC1:AC91)</f>
        <v>0</v>
      </c>
      <c r="J92">
        <f>SUM(AD1:AD91)</f>
        <v>0</v>
      </c>
    </row>
    <row r="93" spans="1:27" hidden="1" x14ac:dyDescent="0.2">
      <c r="A93" t="s">
        <v>172</v>
      </c>
      <c r="I93">
        <f>SUM(AE1:AE92)</f>
        <v>0</v>
      </c>
      <c r="J93">
        <f>SUM(AF1:AF92)</f>
        <v>0</v>
      </c>
    </row>
    <row r="94" spans="1:27" ht="14.25" x14ac:dyDescent="0.2">
      <c r="C94" s="45" t="str">
        <f>Source!H91</f>
        <v>НДС 20%</v>
      </c>
      <c r="D94" s="45"/>
      <c r="E94" s="45"/>
      <c r="F94" s="45"/>
      <c r="G94" s="45"/>
      <c r="H94" s="45"/>
      <c r="I94" s="45"/>
      <c r="J94" s="46">
        <f>IF(Source!F91=0, "", Source!F91)</f>
        <v>145122.16</v>
      </c>
      <c r="K94" s="46"/>
    </row>
    <row r="95" spans="1:27" s="139" customFormat="1" ht="23.25" customHeight="1" x14ac:dyDescent="0.25">
      <c r="C95" s="49" t="str">
        <f>Source!H92</f>
        <v>Итого с НДС</v>
      </c>
      <c r="D95" s="49"/>
      <c r="E95" s="49"/>
      <c r="F95" s="49"/>
      <c r="G95" s="49"/>
      <c r="H95" s="49"/>
      <c r="I95" s="49"/>
      <c r="J95" s="50">
        <f>IF(Source!F92=0, "", Source!F92)</f>
        <v>870732.94</v>
      </c>
      <c r="K95" s="50"/>
    </row>
    <row r="98" spans="1:11" ht="14.25" x14ac:dyDescent="0.2">
      <c r="A98" s="47" t="s">
        <v>174</v>
      </c>
      <c r="B98" s="47"/>
      <c r="C98" s="32" t="str">
        <f>IF(Source!AC12&lt;&gt;"", Source!AC12," ")</f>
        <v>Зам.начальника ПТО</v>
      </c>
      <c r="D98" s="32"/>
      <c r="E98" s="32"/>
      <c r="F98" s="32"/>
      <c r="G98" s="32"/>
      <c r="H98" s="11" t="str">
        <f>IF(Source!AB12&lt;&gt;"", Source!AB12," ")</f>
        <v>Алиева И.Е.</v>
      </c>
      <c r="I98" s="11"/>
      <c r="J98" s="11"/>
      <c r="K98" s="11"/>
    </row>
    <row r="99" spans="1:11" ht="14.25" x14ac:dyDescent="0.2">
      <c r="A99" s="11"/>
      <c r="B99" s="11"/>
      <c r="C99" s="48" t="s">
        <v>175</v>
      </c>
      <c r="D99" s="48"/>
      <c r="E99" s="48"/>
      <c r="F99" s="48"/>
      <c r="G99" s="48"/>
      <c r="H99" s="11"/>
      <c r="I99" s="11"/>
      <c r="J99" s="11"/>
      <c r="K99" s="11"/>
    </row>
    <row r="100" spans="1:11" ht="14.2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4.25" x14ac:dyDescent="0.2">
      <c r="A101" s="47" t="s">
        <v>176</v>
      </c>
      <c r="B101" s="47"/>
      <c r="C101" s="32" t="str">
        <f>IF(Source!AE12&lt;&gt;"", Source!AE12," ")</f>
        <v>Главный инженер</v>
      </c>
      <c r="D101" s="32"/>
      <c r="E101" s="32"/>
      <c r="F101" s="32"/>
      <c r="G101" s="32"/>
      <c r="H101" s="11" t="str">
        <f>IF(Source!AD12&lt;&gt;"", Source!AD12," ")</f>
        <v>Алексеев Е.В.</v>
      </c>
      <c r="I101" s="11"/>
      <c r="J101" s="11"/>
      <c r="K101" s="11"/>
    </row>
    <row r="102" spans="1:11" ht="14.25" x14ac:dyDescent="0.2">
      <c r="A102" s="11"/>
      <c r="B102" s="11"/>
      <c r="C102" s="48" t="s">
        <v>175</v>
      </c>
      <c r="D102" s="48"/>
      <c r="E102" s="48"/>
      <c r="F102" s="48"/>
      <c r="G102" s="48"/>
      <c r="H102" s="11"/>
      <c r="I102" s="11"/>
      <c r="J102" s="11"/>
      <c r="K102" s="11"/>
    </row>
  </sheetData>
  <mergeCells count="53">
    <mergeCell ref="B3:E3"/>
    <mergeCell ref="G3:K3"/>
    <mergeCell ref="B4:E4"/>
    <mergeCell ref="G4:K4"/>
    <mergeCell ref="B6:E6"/>
    <mergeCell ref="G6:K6"/>
    <mergeCell ref="F22:H22"/>
    <mergeCell ref="B7:E7"/>
    <mergeCell ref="G7:K7"/>
    <mergeCell ref="A11:K11"/>
    <mergeCell ref="A12:K12"/>
    <mergeCell ref="A14:K14"/>
    <mergeCell ref="A16:K16"/>
    <mergeCell ref="A17:K17"/>
    <mergeCell ref="A19:K19"/>
    <mergeCell ref="F21:H21"/>
    <mergeCell ref="J58:K58"/>
    <mergeCell ref="H58:I58"/>
    <mergeCell ref="F23:H23"/>
    <mergeCell ref="F24:H24"/>
    <mergeCell ref="F25:H25"/>
    <mergeCell ref="F26:H26"/>
    <mergeCell ref="F28:H28"/>
    <mergeCell ref="A29:K29"/>
    <mergeCell ref="A33:K33"/>
    <mergeCell ref="J43:K43"/>
    <mergeCell ref="H43:I43"/>
    <mergeCell ref="J52:K52"/>
    <mergeCell ref="H52:I52"/>
    <mergeCell ref="J64:K64"/>
    <mergeCell ref="H64:I64"/>
    <mergeCell ref="J70:K70"/>
    <mergeCell ref="H70:I70"/>
    <mergeCell ref="J76:K76"/>
    <mergeCell ref="H76:I76"/>
    <mergeCell ref="J82:K82"/>
    <mergeCell ref="H82:I82"/>
    <mergeCell ref="J85:K85"/>
    <mergeCell ref="H85:I85"/>
    <mergeCell ref="J87:K87"/>
    <mergeCell ref="H87:I87"/>
    <mergeCell ref="C102:G102"/>
    <mergeCell ref="A87:G87"/>
    <mergeCell ref="J91:K91"/>
    <mergeCell ref="H91:I91"/>
    <mergeCell ref="A91:G91"/>
    <mergeCell ref="C94:I94"/>
    <mergeCell ref="J94:K94"/>
    <mergeCell ref="C95:I95"/>
    <mergeCell ref="J95:K95"/>
    <mergeCell ref="A98:B98"/>
    <mergeCell ref="C99:G99"/>
    <mergeCell ref="A101:B101"/>
  </mergeCells>
  <pageMargins left="0.4" right="0.2" top="0.2" bottom="0.4" header="0.2" footer="0.2"/>
  <pageSetup paperSize="9" scale="64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7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7" width="11.7109375" customWidth="1"/>
    <col min="8" max="8" width="12.7109375" customWidth="1"/>
    <col min="9" max="9" width="10.7109375" customWidth="1"/>
    <col min="10" max="12" width="12.7109375" customWidth="1"/>
    <col min="15" max="35" width="0" hidden="1" customWidth="1"/>
    <col min="36" max="36" width="99.7109375" hidden="1" customWidth="1"/>
    <col min="37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1"/>
      <c r="D2" s="31"/>
      <c r="E2" s="31"/>
      <c r="F2" s="11"/>
      <c r="G2" s="11"/>
      <c r="H2" s="11"/>
      <c r="I2" s="82" t="s">
        <v>177</v>
      </c>
      <c r="J2" s="82"/>
      <c r="K2" s="82"/>
      <c r="L2" s="82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2" t="s">
        <v>178</v>
      </c>
      <c r="J3" s="82"/>
      <c r="K3" s="82"/>
      <c r="L3" s="82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2" t="s">
        <v>179</v>
      </c>
      <c r="J4" s="82"/>
      <c r="K4" s="82"/>
      <c r="L4" s="82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1" t="s">
        <v>180</v>
      </c>
      <c r="K6" s="71"/>
      <c r="L6" s="71"/>
    </row>
    <row r="7" spans="1:36" ht="14.25" x14ac:dyDescent="0.2">
      <c r="A7" s="11"/>
      <c r="B7" s="11"/>
      <c r="C7" s="11"/>
      <c r="D7" s="11"/>
      <c r="E7" s="11"/>
      <c r="F7" s="11"/>
      <c r="G7" s="11"/>
      <c r="H7" s="11"/>
      <c r="I7" s="10" t="s">
        <v>181</v>
      </c>
      <c r="J7" s="83" t="s">
        <v>182</v>
      </c>
      <c r="K7" s="83"/>
      <c r="L7" s="83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1" t="str">
        <f>IF(Source!AT15 &lt;&gt; "", Source!AT15, "")</f>
        <v/>
      </c>
      <c r="K8" s="71"/>
      <c r="L8" s="71"/>
    </row>
    <row r="9" spans="1:36" ht="14.25" x14ac:dyDescent="0.2">
      <c r="A9" s="11" t="s">
        <v>183</v>
      </c>
      <c r="B9" s="11"/>
      <c r="C9" s="57" t="str">
        <f>IF(Source!BA15 &lt;&gt; "", Source!BA15, IF(Source!AU15 &lt;&gt; "", Source!AU15, ""))</f>
        <v/>
      </c>
      <c r="D9" s="57"/>
      <c r="E9" s="57"/>
      <c r="F9" s="57"/>
      <c r="G9" s="57"/>
      <c r="H9" s="57"/>
      <c r="I9" s="10" t="s">
        <v>184</v>
      </c>
      <c r="J9" s="71"/>
      <c r="K9" s="71"/>
      <c r="L9" s="71"/>
    </row>
    <row r="10" spans="1:36" ht="14.25" x14ac:dyDescent="0.2">
      <c r="A10" s="11"/>
      <c r="B10" s="11"/>
      <c r="C10" s="48" t="s">
        <v>185</v>
      </c>
      <c r="D10" s="48"/>
      <c r="E10" s="48"/>
      <c r="F10" s="48"/>
      <c r="G10" s="48"/>
      <c r="H10" s="48"/>
      <c r="I10" s="11"/>
      <c r="J10" s="71" t="str">
        <f>IF(Source!AK15 &lt;&gt; "", Source!AK15, "")</f>
        <v/>
      </c>
      <c r="K10" s="71"/>
      <c r="L10" s="71"/>
    </row>
    <row r="11" spans="1:36" ht="14.25" x14ac:dyDescent="0.2">
      <c r="A11" s="11" t="s">
        <v>186</v>
      </c>
      <c r="B11" s="11"/>
      <c r="C11" s="57" t="str">
        <f>IF(Source!AX12&lt;&gt; "", Source!AX12, IF(Source!AJ12 &lt;&gt; "", Source!AJ12, ""))</f>
        <v>МУП "Троицкая электросеть", г. Москва, г. Троицк, ул. Лесная, д. 6.</v>
      </c>
      <c r="D11" s="57"/>
      <c r="E11" s="57"/>
      <c r="F11" s="57"/>
      <c r="G11" s="57"/>
      <c r="H11" s="57"/>
      <c r="I11" s="10" t="s">
        <v>184</v>
      </c>
      <c r="J11" s="71"/>
      <c r="K11" s="71"/>
      <c r="L11" s="71"/>
      <c r="AJ11" s="39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185</v>
      </c>
      <c r="D12" s="48"/>
      <c r="E12" s="48"/>
      <c r="F12" s="48"/>
      <c r="G12" s="48"/>
      <c r="H12" s="48"/>
      <c r="I12" s="11"/>
      <c r="J12" s="71" t="str">
        <f>IF(Source!AO15 &lt;&gt; "", Source!AO15, "")</f>
        <v/>
      </c>
      <c r="K12" s="71"/>
      <c r="L12" s="71"/>
    </row>
    <row r="13" spans="1:36" ht="14.25" x14ac:dyDescent="0.2">
      <c r="A13" s="11" t="s">
        <v>187</v>
      </c>
      <c r="B13" s="11"/>
      <c r="C13" s="57" t="str">
        <f>IF(Source!AY12&lt;&gt; "", Source!AY12, IF(Source!AN12 &lt;&gt; "", Source!AN12, ""))</f>
        <v/>
      </c>
      <c r="D13" s="57"/>
      <c r="E13" s="57"/>
      <c r="F13" s="57"/>
      <c r="G13" s="57"/>
      <c r="H13" s="57"/>
      <c r="I13" s="10" t="s">
        <v>184</v>
      </c>
      <c r="J13" s="71"/>
      <c r="K13" s="71"/>
      <c r="L13" s="71"/>
    </row>
    <row r="14" spans="1:36" ht="14.25" x14ac:dyDescent="0.2">
      <c r="A14" s="11"/>
      <c r="B14" s="11"/>
      <c r="C14" s="48" t="s">
        <v>185</v>
      </c>
      <c r="D14" s="48"/>
      <c r="E14" s="48"/>
      <c r="F14" s="48"/>
      <c r="G14" s="48"/>
      <c r="H14" s="48"/>
      <c r="I14" s="11"/>
      <c r="J14" s="71" t="str">
        <f>IF(Source!CO15 &lt;&gt; "", Source!CO15, "")</f>
        <v/>
      </c>
      <c r="K14" s="71"/>
      <c r="L14" s="71"/>
    </row>
    <row r="15" spans="1:36" ht="14.25" x14ac:dyDescent="0.2">
      <c r="A15" s="11" t="s">
        <v>188</v>
      </c>
      <c r="B15" s="11"/>
      <c r="C15" s="57" t="s">
        <v>4</v>
      </c>
      <c r="D15" s="57"/>
      <c r="E15" s="57"/>
      <c r="F15" s="57"/>
      <c r="G15" s="57"/>
      <c r="H15" s="57"/>
      <c r="I15" s="11"/>
      <c r="J15" s="71"/>
      <c r="K15" s="71"/>
      <c r="L15" s="71"/>
    </row>
    <row r="16" spans="1:36" ht="14.25" x14ac:dyDescent="0.2">
      <c r="A16" s="11"/>
      <c r="B16" s="11"/>
      <c r="C16" s="48" t="s">
        <v>189</v>
      </c>
      <c r="D16" s="48"/>
      <c r="E16" s="48"/>
      <c r="F16" s="48"/>
      <c r="G16" s="48"/>
      <c r="H16" s="48"/>
      <c r="I16" s="11"/>
      <c r="J16" s="71" t="str">
        <f>IF(Source!CP15 &lt;&gt; "", Source!CP15, "")</f>
        <v/>
      </c>
      <c r="K16" s="71"/>
      <c r="L16" s="71"/>
    </row>
    <row r="17" spans="1:12" ht="14.25" x14ac:dyDescent="0.2">
      <c r="A17" s="11" t="s">
        <v>190</v>
      </c>
      <c r="B17" s="11"/>
      <c r="C17" s="62" t="str">
        <f>IF(Source!G12&lt;&gt;"Новый объект", Source!G12, "")</f>
        <v>ТП-515 - Замена Трансформаторов</v>
      </c>
      <c r="D17" s="62"/>
      <c r="E17" s="62"/>
      <c r="F17" s="62"/>
      <c r="G17" s="62"/>
      <c r="H17" s="62"/>
      <c r="I17" s="11"/>
      <c r="J17" s="71"/>
      <c r="K17" s="71"/>
      <c r="L17" s="71"/>
    </row>
    <row r="18" spans="1:12" ht="14.25" x14ac:dyDescent="0.2">
      <c r="A18" s="11"/>
      <c r="B18" s="11"/>
      <c r="C18" s="48" t="s">
        <v>191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12" ht="14.25" x14ac:dyDescent="0.2">
      <c r="A19" s="11"/>
      <c r="B19" s="11"/>
      <c r="C19" s="11"/>
      <c r="D19" s="11"/>
      <c r="E19" s="11"/>
      <c r="F19" s="11"/>
      <c r="G19" s="78" t="s">
        <v>192</v>
      </c>
      <c r="H19" s="78"/>
      <c r="I19" s="79"/>
      <c r="J19" s="71" t="str">
        <f>IF(Source!CQ15 &lt;&gt; "", Source!CQ15, "")</f>
        <v/>
      </c>
      <c r="K19" s="71"/>
      <c r="L19" s="71"/>
    </row>
    <row r="20" spans="1:12" ht="14.25" x14ac:dyDescent="0.2">
      <c r="A20" s="11"/>
      <c r="B20" s="11"/>
      <c r="C20" s="11"/>
      <c r="D20" s="11"/>
      <c r="E20" s="11"/>
      <c r="F20" s="11"/>
      <c r="G20" s="78" t="s">
        <v>193</v>
      </c>
      <c r="H20" s="80"/>
      <c r="I20" s="33" t="s">
        <v>194</v>
      </c>
      <c r="J20" s="71" t="str">
        <f>IF(Source!CR15 &lt;&gt; "", Source!CR15, "")</f>
        <v/>
      </c>
      <c r="K20" s="71"/>
      <c r="L20" s="71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34" t="s">
        <v>195</v>
      </c>
      <c r="J21" s="81" t="str">
        <f>IF(Source!CS15 &lt;&gt; 0, Source!CS15, "")</f>
        <v/>
      </c>
      <c r="K21" s="81"/>
      <c r="L21" s="81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0" t="s">
        <v>196</v>
      </c>
      <c r="J22" s="71" t="str">
        <f>IF(Source!CT15 &lt;&gt; "", Source!CT15, "")</f>
        <v/>
      </c>
      <c r="K22" s="71"/>
      <c r="L22" s="7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11"/>
      <c r="B24" s="11"/>
      <c r="C24" s="11"/>
      <c r="D24" s="11"/>
      <c r="E24" s="11"/>
      <c r="F24" s="11"/>
      <c r="G24" s="72" t="s">
        <v>197</v>
      </c>
      <c r="H24" s="74" t="s">
        <v>198</v>
      </c>
      <c r="I24" s="74" t="s">
        <v>199</v>
      </c>
      <c r="J24" s="76"/>
      <c r="K24" s="11"/>
      <c r="L24" s="11"/>
    </row>
    <row r="25" spans="1:12" ht="14.25" x14ac:dyDescent="0.2">
      <c r="A25" s="11"/>
      <c r="B25" s="11"/>
      <c r="C25" s="11"/>
      <c r="D25" s="11"/>
      <c r="E25" s="11"/>
      <c r="F25" s="11"/>
      <c r="G25" s="73"/>
      <c r="H25" s="75"/>
      <c r="I25" s="35" t="s">
        <v>200</v>
      </c>
      <c r="J25" s="36" t="s">
        <v>201</v>
      </c>
      <c r="K25" s="11"/>
      <c r="L25" s="11"/>
    </row>
    <row r="26" spans="1:12" ht="14.25" x14ac:dyDescent="0.2">
      <c r="A26" s="11"/>
      <c r="B26" s="11"/>
      <c r="C26" s="11"/>
      <c r="D26" s="11"/>
      <c r="E26" s="11"/>
      <c r="F26" s="11"/>
      <c r="G26" s="34" t="str">
        <f>IF(Source!CN15 &lt;&gt; "", Source!CN15, "")</f>
        <v/>
      </c>
      <c r="H26" s="37">
        <v>44246.45040509259</v>
      </c>
      <c r="I26" s="34"/>
      <c r="J26" s="38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8" x14ac:dyDescent="0.25">
      <c r="A28" s="77" t="s">
        <v>202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8" x14ac:dyDescent="0.25">
      <c r="A29" s="77" t="s">
        <v>203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ht="14.2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5" x14ac:dyDescent="0.25">
      <c r="A31" s="11" t="s">
        <v>204</v>
      </c>
      <c r="B31" s="11"/>
      <c r="C31" s="11"/>
      <c r="D31" s="11"/>
      <c r="E31" s="11"/>
      <c r="F31" s="11"/>
      <c r="G31" s="11"/>
      <c r="H31" s="70">
        <f>(Source!F60/1000)</f>
        <v>725.61077999999998</v>
      </c>
      <c r="I31" s="70"/>
      <c r="J31" s="11" t="s">
        <v>205</v>
      </c>
      <c r="K31" s="11"/>
      <c r="L31" s="11"/>
    </row>
    <row r="32" spans="1:12" ht="14.25" x14ac:dyDescent="0.2">
      <c r="A32" s="57" t="s">
        <v>160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27" ht="14.25" x14ac:dyDescent="0.2">
      <c r="A33" s="66" t="s">
        <v>206</v>
      </c>
      <c r="B33" s="66"/>
      <c r="C33" s="66" t="s">
        <v>150</v>
      </c>
      <c r="D33" s="66" t="s">
        <v>151</v>
      </c>
      <c r="E33" s="66" t="s">
        <v>152</v>
      </c>
      <c r="F33" s="66" t="s">
        <v>153</v>
      </c>
      <c r="G33" s="66" t="s">
        <v>154</v>
      </c>
      <c r="H33" s="67" t="s">
        <v>155</v>
      </c>
      <c r="I33" s="67" t="s">
        <v>156</v>
      </c>
      <c r="J33" s="66" t="s">
        <v>157</v>
      </c>
      <c r="K33" s="66" t="s">
        <v>158</v>
      </c>
      <c r="L33" s="66" t="s">
        <v>159</v>
      </c>
    </row>
    <row r="34" spans="1:27" x14ac:dyDescent="0.2">
      <c r="A34" s="67" t="s">
        <v>207</v>
      </c>
      <c r="B34" s="67" t="s">
        <v>208</v>
      </c>
      <c r="C34" s="66"/>
      <c r="D34" s="66"/>
      <c r="E34" s="66"/>
      <c r="F34" s="66"/>
      <c r="G34" s="66"/>
      <c r="H34" s="68"/>
      <c r="I34" s="68"/>
      <c r="J34" s="66"/>
      <c r="K34" s="66"/>
      <c r="L34" s="66"/>
    </row>
    <row r="35" spans="1:27" x14ac:dyDescent="0.2">
      <c r="A35" s="68"/>
      <c r="B35" s="68"/>
      <c r="C35" s="66"/>
      <c r="D35" s="66"/>
      <c r="E35" s="66"/>
      <c r="F35" s="66"/>
      <c r="G35" s="66"/>
      <c r="H35" s="68"/>
      <c r="I35" s="68"/>
      <c r="J35" s="66"/>
      <c r="K35" s="66"/>
      <c r="L35" s="66"/>
    </row>
    <row r="36" spans="1:27" ht="20.100000000000001" customHeight="1" x14ac:dyDescent="0.2">
      <c r="A36" s="68"/>
      <c r="B36" s="68"/>
      <c r="C36" s="66"/>
      <c r="D36" s="66"/>
      <c r="E36" s="66"/>
      <c r="F36" s="66"/>
      <c r="G36" s="66"/>
      <c r="H36" s="68"/>
      <c r="I36" s="68"/>
      <c r="J36" s="66"/>
      <c r="K36" s="66"/>
      <c r="L36" s="66"/>
    </row>
    <row r="37" spans="1:27" ht="20.100000000000001" customHeight="1" x14ac:dyDescent="0.2">
      <c r="A37" s="69"/>
      <c r="B37" s="69"/>
      <c r="C37" s="66"/>
      <c r="D37" s="66"/>
      <c r="E37" s="66"/>
      <c r="F37" s="66"/>
      <c r="G37" s="66"/>
      <c r="H37" s="69"/>
      <c r="I37" s="69"/>
      <c r="J37" s="66"/>
      <c r="K37" s="66"/>
      <c r="L37" s="66"/>
    </row>
    <row r="38" spans="1:27" ht="14.25" x14ac:dyDescent="0.2">
      <c r="A38" s="20">
        <v>1</v>
      </c>
      <c r="B38" s="20">
        <v>2</v>
      </c>
      <c r="C38" s="20">
        <v>3</v>
      </c>
      <c r="D38" s="20">
        <v>4</v>
      </c>
      <c r="E38" s="20">
        <v>5</v>
      </c>
      <c r="F38" s="20">
        <v>6</v>
      </c>
      <c r="G38" s="20">
        <v>7</v>
      </c>
      <c r="H38" s="20">
        <v>8</v>
      </c>
      <c r="I38" s="20">
        <v>9</v>
      </c>
      <c r="J38" s="20">
        <v>10</v>
      </c>
      <c r="K38" s="20">
        <v>11</v>
      </c>
      <c r="L38" s="20">
        <v>12</v>
      </c>
    </row>
    <row r="39" spans="1:27" ht="85.5" x14ac:dyDescent="0.2">
      <c r="A39" s="22">
        <v>1</v>
      </c>
      <c r="B39" s="22" t="str">
        <f>Source!E24</f>
        <v>1</v>
      </c>
      <c r="C39" s="23" t="str">
        <f>Source!F24</f>
        <v>4.8-42-2</v>
      </c>
      <c r="D39" s="23" t="s">
        <v>23</v>
      </c>
      <c r="E39" s="24" t="str">
        <f>Source!H24</f>
        <v>шт.</v>
      </c>
      <c r="F39" s="10">
        <f>Source!I24</f>
        <v>2</v>
      </c>
      <c r="G39" s="26"/>
      <c r="H39" s="25"/>
      <c r="I39" s="10"/>
      <c r="J39" s="27"/>
      <c r="K39" s="10"/>
      <c r="L39" s="27"/>
      <c r="Q39">
        <f>ROUND((Source!DN24/100)*ROUND((ROUND((Source!AF24*Source!AV24*Source!I24),2)),2), 2)</f>
        <v>956.2</v>
      </c>
      <c r="R39">
        <f>Source!X24</f>
        <v>16030.07</v>
      </c>
      <c r="S39">
        <f>ROUND((Source!DO24/100)*ROUND((ROUND((Source!AF24*Source!AV24*Source!I24),2)),2), 2)</f>
        <v>561.98</v>
      </c>
      <c r="T39">
        <f>Source!Y24</f>
        <v>8535.49</v>
      </c>
      <c r="U39">
        <f>ROUND((175/100)*ROUND((ROUND((Source!AE24*Source!AV24*Source!I24),2)),2), 2)</f>
        <v>440.76</v>
      </c>
      <c r="V39">
        <f>ROUND((157/100)*ROUND(ROUND((ROUND((Source!AE24*Source!AV24*Source!I24),2)*Source!BS24),2), 2), 2)</f>
        <v>9814.34</v>
      </c>
    </row>
    <row r="40" spans="1:27" ht="14.25" x14ac:dyDescent="0.2">
      <c r="A40" s="22"/>
      <c r="B40" s="22"/>
      <c r="C40" s="23"/>
      <c r="D40" s="23" t="s">
        <v>161</v>
      </c>
      <c r="E40" s="24"/>
      <c r="F40" s="10"/>
      <c r="G40" s="26">
        <f>Source!AO24</f>
        <v>348.31</v>
      </c>
      <c r="H40" s="25" t="str">
        <f>Source!DG24</f>
        <v>)*1,15</v>
      </c>
      <c r="I40" s="10">
        <f>Source!AV24</f>
        <v>1.0469999999999999</v>
      </c>
      <c r="J40" s="27">
        <f>ROUND((ROUND((Source!AF24*Source!AV24*Source!I24),2)),2)</f>
        <v>838.77</v>
      </c>
      <c r="K40" s="10">
        <f>IF(Source!BA24&lt;&gt; 0, Source!BA24, 1)</f>
        <v>24.82</v>
      </c>
      <c r="L40" s="27">
        <f>Source!S24</f>
        <v>20818.27</v>
      </c>
      <c r="W40">
        <f>J40</f>
        <v>838.77</v>
      </c>
    </row>
    <row r="41" spans="1:27" ht="14.25" x14ac:dyDescent="0.2">
      <c r="A41" s="22"/>
      <c r="B41" s="22"/>
      <c r="C41" s="23"/>
      <c r="D41" s="23" t="s">
        <v>162</v>
      </c>
      <c r="E41" s="24"/>
      <c r="F41" s="10"/>
      <c r="G41" s="26">
        <f>Source!AM24</f>
        <v>450.39</v>
      </c>
      <c r="H41" s="25" t="str">
        <f>Source!DE24</f>
        <v>)*1,15</v>
      </c>
      <c r="I41" s="10">
        <f>Source!AV24</f>
        <v>1.0469999999999999</v>
      </c>
      <c r="J41" s="27">
        <f>(ROUND((ROUND((((Source!ET24*1.15))*Source!AV24*Source!I24),2)),2)+ROUND((ROUND(((Source!AE24-((Source!EU24*1.15)))*Source!AV24*Source!I24),2)),2))</f>
        <v>1084.58</v>
      </c>
      <c r="K41" s="10">
        <f>IF(Source!BB24&lt;&gt; 0, Source!BB24, 1)</f>
        <v>8.93</v>
      </c>
      <c r="L41" s="27">
        <f>Source!Q24</f>
        <v>9685.2999999999993</v>
      </c>
    </row>
    <row r="42" spans="1:27" ht="14.25" x14ac:dyDescent="0.2">
      <c r="A42" s="22"/>
      <c r="B42" s="22"/>
      <c r="C42" s="23"/>
      <c r="D42" s="23" t="s">
        <v>163</v>
      </c>
      <c r="E42" s="24"/>
      <c r="F42" s="10"/>
      <c r="G42" s="26">
        <f>Source!AN24</f>
        <v>104.59</v>
      </c>
      <c r="H42" s="25" t="str">
        <f>Source!DF24</f>
        <v>)*1,15</v>
      </c>
      <c r="I42" s="10">
        <f>Source!AV24</f>
        <v>1.0469999999999999</v>
      </c>
      <c r="J42" s="28">
        <f>ROUND((ROUND((Source!AE24*Source!AV24*Source!I24),2)),2)</f>
        <v>251.86</v>
      </c>
      <c r="K42" s="10">
        <f>IF(Source!BS24&lt;&gt; 0, Source!BS24, 1)</f>
        <v>24.82</v>
      </c>
      <c r="L42" s="28">
        <f>Source!R24</f>
        <v>6251.17</v>
      </c>
      <c r="W42">
        <f>J42</f>
        <v>251.86</v>
      </c>
    </row>
    <row r="43" spans="1:27" ht="14.25" x14ac:dyDescent="0.2">
      <c r="A43" s="22"/>
      <c r="B43" s="22"/>
      <c r="C43" s="23"/>
      <c r="D43" s="23" t="s">
        <v>164</v>
      </c>
      <c r="E43" s="24"/>
      <c r="F43" s="10"/>
      <c r="G43" s="26">
        <f>Source!AL24</f>
        <v>277.89999999999998</v>
      </c>
      <c r="H43" s="25" t="str">
        <f>Source!DD24</f>
        <v/>
      </c>
      <c r="I43" s="10">
        <f>Source!AW24</f>
        <v>1</v>
      </c>
      <c r="J43" s="27">
        <f>ROUND((ROUND((Source!AC24*Source!AW24*Source!I24),2)),2)</f>
        <v>555.79999999999995</v>
      </c>
      <c r="K43" s="10">
        <f>IF(Source!BC24&lt;&gt; 0, Source!BC24, 1)</f>
        <v>5.29</v>
      </c>
      <c r="L43" s="27">
        <f>Source!P24</f>
        <v>2940.18</v>
      </c>
    </row>
    <row r="44" spans="1:27" ht="14.25" x14ac:dyDescent="0.2">
      <c r="A44" s="22"/>
      <c r="B44" s="22"/>
      <c r="C44" s="23"/>
      <c r="D44" s="23" t="s">
        <v>165</v>
      </c>
      <c r="E44" s="24" t="s">
        <v>166</v>
      </c>
      <c r="F44" s="10">
        <f>Source!DN24</f>
        <v>114</v>
      </c>
      <c r="G44" s="26"/>
      <c r="H44" s="25"/>
      <c r="I44" s="10"/>
      <c r="J44" s="27">
        <f>SUM(Q39:Q43)</f>
        <v>956.2</v>
      </c>
      <c r="K44" s="10">
        <f>Source!BZ24</f>
        <v>77</v>
      </c>
      <c r="L44" s="27">
        <f>SUM(R39:R43)</f>
        <v>16030.07</v>
      </c>
    </row>
    <row r="45" spans="1:27" ht="14.25" x14ac:dyDescent="0.2">
      <c r="A45" s="22"/>
      <c r="B45" s="22"/>
      <c r="C45" s="23"/>
      <c r="D45" s="23" t="s">
        <v>167</v>
      </c>
      <c r="E45" s="24" t="s">
        <v>166</v>
      </c>
      <c r="F45" s="10">
        <f>Source!DO24</f>
        <v>67</v>
      </c>
      <c r="G45" s="26"/>
      <c r="H45" s="25"/>
      <c r="I45" s="10"/>
      <c r="J45" s="27">
        <f>SUM(S39:S44)</f>
        <v>561.98</v>
      </c>
      <c r="K45" s="10">
        <f>Source!CA24</f>
        <v>41</v>
      </c>
      <c r="L45" s="27">
        <f>SUM(T39:T44)</f>
        <v>8535.49</v>
      </c>
    </row>
    <row r="46" spans="1:27" ht="14.25" x14ac:dyDescent="0.2">
      <c r="A46" s="22"/>
      <c r="B46" s="22"/>
      <c r="C46" s="23"/>
      <c r="D46" s="23" t="s">
        <v>168</v>
      </c>
      <c r="E46" s="24" t="s">
        <v>166</v>
      </c>
      <c r="F46" s="10">
        <f>175</f>
        <v>175</v>
      </c>
      <c r="G46" s="26"/>
      <c r="H46" s="25"/>
      <c r="I46" s="10"/>
      <c r="J46" s="27">
        <f>SUM(U39:U45)</f>
        <v>440.76</v>
      </c>
      <c r="K46" s="10">
        <f>157</f>
        <v>157</v>
      </c>
      <c r="L46" s="27">
        <f>SUM(V39:V45)</f>
        <v>9814.34</v>
      </c>
    </row>
    <row r="47" spans="1:27" ht="14.25" x14ac:dyDescent="0.2">
      <c r="A47" s="22"/>
      <c r="B47" s="22"/>
      <c r="C47" s="23"/>
      <c r="D47" s="23" t="s">
        <v>169</v>
      </c>
      <c r="E47" s="24" t="s">
        <v>170</v>
      </c>
      <c r="F47" s="10">
        <f>Source!AQ24</f>
        <v>27.6</v>
      </c>
      <c r="G47" s="26"/>
      <c r="H47" s="25" t="str">
        <f>Source!DI24</f>
        <v>)*1,15</v>
      </c>
      <c r="I47" s="10">
        <f>Source!AV24</f>
        <v>1.0469999999999999</v>
      </c>
      <c r="J47" s="27">
        <f>Source!U24</f>
        <v>66.463559999999987</v>
      </c>
      <c r="K47" s="10"/>
      <c r="L47" s="27"/>
    </row>
    <row r="48" spans="1:27" ht="15" x14ac:dyDescent="0.25">
      <c r="A48" s="30"/>
      <c r="B48" s="30"/>
      <c r="C48" s="30"/>
      <c r="D48" s="30"/>
      <c r="E48" s="30"/>
      <c r="F48" s="30"/>
      <c r="G48" s="30"/>
      <c r="H48" s="30"/>
      <c r="I48" s="52">
        <f>J40+J41+J43+J44+J45+J46</f>
        <v>4438.0899999999992</v>
      </c>
      <c r="J48" s="52"/>
      <c r="K48" s="52">
        <f>L40+L41+L43+L44+L45+L46</f>
        <v>67823.649999999994</v>
      </c>
      <c r="L48" s="52"/>
      <c r="O48" s="29">
        <f>J40+J41+J43+J44+J45+J46</f>
        <v>4438.0899999999992</v>
      </c>
      <c r="P48" s="29">
        <f>L40+L41+L43+L44+L45+L46</f>
        <v>67823.649999999994</v>
      </c>
      <c r="X48">
        <f>IF(Source!BI24&lt;=1,J40+J41+J43+J44+J45+J46-0, 0)</f>
        <v>0</v>
      </c>
      <c r="Y48">
        <f>IF(Source!BI24=2,J40+J41+J43+J44+J45+J46-0, 0)</f>
        <v>4438.0899999999992</v>
      </c>
      <c r="Z48">
        <f>IF(Source!BI24=3,J40+J41+J43+J44+J45+J46-0, 0)</f>
        <v>0</v>
      </c>
      <c r="AA48">
        <f>IF(Source!BI24=4,J40+J41+J43+J44+J45+J46,0)</f>
        <v>0</v>
      </c>
    </row>
    <row r="49" spans="1:27" ht="85.5" x14ac:dyDescent="0.2">
      <c r="A49" s="22">
        <v>2</v>
      </c>
      <c r="B49" s="22" t="str">
        <f>Source!E25</f>
        <v>2</v>
      </c>
      <c r="C49" s="23" t="str">
        <f>Source!F25</f>
        <v>4.8-42-2</v>
      </c>
      <c r="D49" s="23" t="s">
        <v>32</v>
      </c>
      <c r="E49" s="24" t="str">
        <f>Source!H25</f>
        <v>шт.</v>
      </c>
      <c r="F49" s="10">
        <f>Source!I25</f>
        <v>2</v>
      </c>
      <c r="G49" s="26"/>
      <c r="H49" s="25"/>
      <c r="I49" s="10"/>
      <c r="J49" s="27"/>
      <c r="K49" s="10"/>
      <c r="L49" s="27"/>
      <c r="Q49">
        <f>ROUND((Source!DN25/100)*ROUND((ROUND((Source!AF25*Source!AV25*Source!I25),2)),2), 2)</f>
        <v>478.09</v>
      </c>
      <c r="R49">
        <f>Source!X25</f>
        <v>8014.94</v>
      </c>
      <c r="S49">
        <f>ROUND((Source!DO25/100)*ROUND((ROUND((Source!AF25*Source!AV25*Source!I25),2)),2), 2)</f>
        <v>280.98</v>
      </c>
      <c r="T49">
        <f>Source!Y25</f>
        <v>4267.6899999999996</v>
      </c>
      <c r="U49">
        <f>ROUND((175/100)*ROUND((ROUND((Source!AE25*Source!AV25*Source!I25),2)),2), 2)</f>
        <v>220.38</v>
      </c>
      <c r="V49">
        <f>ROUND((157/100)*ROUND(ROUND((ROUND((Source!AE25*Source!AV25*Source!I25),2)*Source!BS25),2), 2), 2)</f>
        <v>4907.16</v>
      </c>
    </row>
    <row r="50" spans="1:27" ht="14.25" x14ac:dyDescent="0.2">
      <c r="A50" s="22"/>
      <c r="B50" s="22"/>
      <c r="C50" s="23"/>
      <c r="D50" s="23" t="s">
        <v>161</v>
      </c>
      <c r="E50" s="24"/>
      <c r="F50" s="10"/>
      <c r="G50" s="26">
        <f>Source!AO25</f>
        <v>348.31</v>
      </c>
      <c r="H50" s="25" t="str">
        <f>Source!DG25</f>
        <v>)*0,5)*1,15</v>
      </c>
      <c r="I50" s="10">
        <f>Source!AV25</f>
        <v>1.0469999999999999</v>
      </c>
      <c r="J50" s="27">
        <f>ROUND((ROUND((Source!AF25*Source!AV25*Source!I25),2)),2)</f>
        <v>419.38</v>
      </c>
      <c r="K50" s="10">
        <f>IF(Source!BA25&lt;&gt; 0, Source!BA25, 1)</f>
        <v>24.82</v>
      </c>
      <c r="L50" s="27">
        <f>Source!S25</f>
        <v>10409.01</v>
      </c>
      <c r="W50">
        <f>J50</f>
        <v>419.38</v>
      </c>
    </row>
    <row r="51" spans="1:27" ht="14.25" x14ac:dyDescent="0.2">
      <c r="A51" s="22"/>
      <c r="B51" s="22"/>
      <c r="C51" s="23"/>
      <c r="D51" s="23" t="s">
        <v>162</v>
      </c>
      <c r="E51" s="24"/>
      <c r="F51" s="10"/>
      <c r="G51" s="26">
        <f>Source!AM25</f>
        <v>450.39</v>
      </c>
      <c r="H51" s="25" t="str">
        <f>Source!DE25</f>
        <v>)*0,5)*1,15</v>
      </c>
      <c r="I51" s="10">
        <f>Source!AV25</f>
        <v>1.0469999999999999</v>
      </c>
      <c r="J51" s="27">
        <f>(ROUND((ROUND(((((Source!ET25*0.5)*1.15))*Source!AV25*Source!I25),2)),2)+ROUND((ROUND(((Source!AE25-(((Source!EU25*0.5)*1.15)))*Source!AV25*Source!I25),2)),2))</f>
        <v>542.29</v>
      </c>
      <c r="K51" s="10">
        <f>IF(Source!BB25&lt;&gt; 0, Source!BB25, 1)</f>
        <v>8.93</v>
      </c>
      <c r="L51" s="27">
        <f>Source!Q25</f>
        <v>4842.6499999999996</v>
      </c>
    </row>
    <row r="52" spans="1:27" ht="14.25" x14ac:dyDescent="0.2">
      <c r="A52" s="22"/>
      <c r="B52" s="22"/>
      <c r="C52" s="23"/>
      <c r="D52" s="23" t="s">
        <v>163</v>
      </c>
      <c r="E52" s="24"/>
      <c r="F52" s="10"/>
      <c r="G52" s="26">
        <f>Source!AN25</f>
        <v>104.59</v>
      </c>
      <c r="H52" s="25" t="str">
        <f>Source!DF25</f>
        <v>)*0,5)*1,15</v>
      </c>
      <c r="I52" s="10">
        <f>Source!AV25</f>
        <v>1.0469999999999999</v>
      </c>
      <c r="J52" s="28">
        <f>ROUND((ROUND((Source!AE25*Source!AV25*Source!I25),2)),2)</f>
        <v>125.93</v>
      </c>
      <c r="K52" s="10">
        <f>IF(Source!BS25&lt;&gt; 0, Source!BS25, 1)</f>
        <v>24.82</v>
      </c>
      <c r="L52" s="28">
        <f>Source!R25</f>
        <v>3125.58</v>
      </c>
      <c r="W52">
        <f>J52</f>
        <v>125.93</v>
      </c>
    </row>
    <row r="53" spans="1:27" ht="14.25" x14ac:dyDescent="0.2">
      <c r="A53" s="22"/>
      <c r="B53" s="22"/>
      <c r="C53" s="23"/>
      <c r="D53" s="23" t="s">
        <v>165</v>
      </c>
      <c r="E53" s="24" t="s">
        <v>166</v>
      </c>
      <c r="F53" s="10">
        <f>Source!DN25</f>
        <v>114</v>
      </c>
      <c r="G53" s="26"/>
      <c r="H53" s="25"/>
      <c r="I53" s="10"/>
      <c r="J53" s="27">
        <f>SUM(Q49:Q52)</f>
        <v>478.09</v>
      </c>
      <c r="K53" s="10">
        <f>Source!BZ25</f>
        <v>77</v>
      </c>
      <c r="L53" s="27">
        <f>SUM(R49:R52)</f>
        <v>8014.94</v>
      </c>
    </row>
    <row r="54" spans="1:27" ht="14.25" x14ac:dyDescent="0.2">
      <c r="A54" s="22"/>
      <c r="B54" s="22"/>
      <c r="C54" s="23"/>
      <c r="D54" s="23" t="s">
        <v>167</v>
      </c>
      <c r="E54" s="24" t="s">
        <v>166</v>
      </c>
      <c r="F54" s="10">
        <f>Source!DO25</f>
        <v>67</v>
      </c>
      <c r="G54" s="26"/>
      <c r="H54" s="25"/>
      <c r="I54" s="10"/>
      <c r="J54" s="27">
        <f>SUM(S49:S53)</f>
        <v>280.98</v>
      </c>
      <c r="K54" s="10">
        <f>Source!CA25</f>
        <v>41</v>
      </c>
      <c r="L54" s="27">
        <f>SUM(T49:T53)</f>
        <v>4267.6899999999996</v>
      </c>
    </row>
    <row r="55" spans="1:27" ht="14.25" x14ac:dyDescent="0.2">
      <c r="A55" s="22"/>
      <c r="B55" s="22"/>
      <c r="C55" s="23"/>
      <c r="D55" s="23" t="s">
        <v>168</v>
      </c>
      <c r="E55" s="24" t="s">
        <v>166</v>
      </c>
      <c r="F55" s="10">
        <f>175</f>
        <v>175</v>
      </c>
      <c r="G55" s="26"/>
      <c r="H55" s="25"/>
      <c r="I55" s="10"/>
      <c r="J55" s="27">
        <f>SUM(U49:U54)</f>
        <v>220.38</v>
      </c>
      <c r="K55" s="10">
        <f>157</f>
        <v>157</v>
      </c>
      <c r="L55" s="27">
        <f>SUM(V49:V54)</f>
        <v>4907.16</v>
      </c>
    </row>
    <row r="56" spans="1:27" ht="14.25" x14ac:dyDescent="0.2">
      <c r="A56" s="22"/>
      <c r="B56" s="22"/>
      <c r="C56" s="23"/>
      <c r="D56" s="23" t="s">
        <v>169</v>
      </c>
      <c r="E56" s="24" t="s">
        <v>170</v>
      </c>
      <c r="F56" s="10">
        <f>Source!AQ25</f>
        <v>27.6</v>
      </c>
      <c r="G56" s="26"/>
      <c r="H56" s="25" t="str">
        <f>Source!DI25</f>
        <v>)*0,5)*1,15</v>
      </c>
      <c r="I56" s="10">
        <f>Source!AV25</f>
        <v>1.0469999999999999</v>
      </c>
      <c r="J56" s="27">
        <f>Source!U25</f>
        <v>33.231779999999993</v>
      </c>
      <c r="K56" s="10"/>
      <c r="L56" s="27"/>
    </row>
    <row r="57" spans="1:27" ht="15" x14ac:dyDescent="0.25">
      <c r="A57" s="30"/>
      <c r="B57" s="30"/>
      <c r="C57" s="30"/>
      <c r="D57" s="30"/>
      <c r="E57" s="30"/>
      <c r="F57" s="30"/>
      <c r="G57" s="30"/>
      <c r="H57" s="30"/>
      <c r="I57" s="52">
        <f>J50+J51+J53+J54+J55</f>
        <v>1941.12</v>
      </c>
      <c r="J57" s="52"/>
      <c r="K57" s="52">
        <f>L50+L51+L53+L54+L55</f>
        <v>32441.449999999997</v>
      </c>
      <c r="L57" s="52"/>
      <c r="O57" s="29">
        <f>J50+J51+J53+J54+J55</f>
        <v>1941.12</v>
      </c>
      <c r="P57" s="29">
        <f>L50+L51+L53+L54+L55</f>
        <v>32441.449999999997</v>
      </c>
      <c r="X57">
        <f>IF(Source!BI25&lt;=1,J50+J51+J53+J54+J55-0, 0)</f>
        <v>0</v>
      </c>
      <c r="Y57">
        <f>IF(Source!BI25=2,J50+J51+J53+J54+J55-0, 0)</f>
        <v>1941.12</v>
      </c>
      <c r="Z57">
        <f>IF(Source!BI25=3,J50+J51+J53+J54+J55-0, 0)</f>
        <v>0</v>
      </c>
      <c r="AA57">
        <f>IF(Source!BI25=4,J50+J51+J53+J54+J55,0)</f>
        <v>0</v>
      </c>
    </row>
    <row r="58" spans="1:27" ht="42.75" x14ac:dyDescent="0.2">
      <c r="A58" s="22">
        <v>3</v>
      </c>
      <c r="B58" s="22" t="str">
        <f>Source!E26</f>
        <v>3</v>
      </c>
      <c r="C58" s="23" t="str">
        <f>Source!F26</f>
        <v>5.1-11-2</v>
      </c>
      <c r="D58" s="23" t="s">
        <v>38</v>
      </c>
      <c r="E58" s="24" t="str">
        <f>Source!H26</f>
        <v>шт.</v>
      </c>
      <c r="F58" s="10">
        <f>Source!I26</f>
        <v>2</v>
      </c>
      <c r="G58" s="26"/>
      <c r="H58" s="25"/>
      <c r="I58" s="10"/>
      <c r="J58" s="27"/>
      <c r="K58" s="10"/>
      <c r="L58" s="27"/>
      <c r="Q58">
        <f>ROUND((Source!DN26/100)*ROUND((ROUND((Source!AF26*Source!AV26*Source!I26),2)),2), 2)</f>
        <v>341.47</v>
      </c>
      <c r="R58">
        <f>Source!X26</f>
        <v>7684.2</v>
      </c>
      <c r="S58">
        <f>ROUND((Source!DO26/100)*ROUND((ROUND((Source!AF26*Source!AV26*Source!I26),2)),2), 2)</f>
        <v>318.7</v>
      </c>
      <c r="T58">
        <f>Source!Y26</f>
        <v>4633.12</v>
      </c>
      <c r="U58">
        <f>ROUND((175/100)*ROUND((ROUND((Source!AE26*Source!AV26*Source!I26),2)),2), 2)</f>
        <v>0</v>
      </c>
      <c r="V58">
        <f>ROUND((157/100)*ROUND(ROUND((ROUND((Source!AE26*Source!AV26*Source!I26),2)*Source!BS26),2), 2), 2)</f>
        <v>0</v>
      </c>
    </row>
    <row r="59" spans="1:27" ht="14.25" x14ac:dyDescent="0.2">
      <c r="A59" s="22"/>
      <c r="B59" s="22"/>
      <c r="C59" s="23"/>
      <c r="D59" s="23" t="s">
        <v>161</v>
      </c>
      <c r="E59" s="24"/>
      <c r="F59" s="10"/>
      <c r="G59" s="26">
        <f>Source!AO26</f>
        <v>175.11</v>
      </c>
      <c r="H59" s="25" t="str">
        <f>Source!DG26</f>
        <v>)*1,3</v>
      </c>
      <c r="I59" s="10">
        <f>Source!AV26</f>
        <v>1</v>
      </c>
      <c r="J59" s="27">
        <f>ROUND((ROUND((Source!AF26*Source!AV26*Source!I26),2)),2)</f>
        <v>455.29</v>
      </c>
      <c r="K59" s="10">
        <f>IF(Source!BA26&lt;&gt; 0, Source!BA26, 1)</f>
        <v>24.82</v>
      </c>
      <c r="L59" s="27">
        <f>Source!S26</f>
        <v>11300.3</v>
      </c>
      <c r="W59">
        <f>J59</f>
        <v>455.29</v>
      </c>
    </row>
    <row r="60" spans="1:27" ht="14.25" x14ac:dyDescent="0.2">
      <c r="A60" s="22"/>
      <c r="B60" s="22"/>
      <c r="C60" s="23"/>
      <c r="D60" s="23" t="s">
        <v>165</v>
      </c>
      <c r="E60" s="24" t="s">
        <v>166</v>
      </c>
      <c r="F60" s="10">
        <f>Source!DN26</f>
        <v>75</v>
      </c>
      <c r="G60" s="26"/>
      <c r="H60" s="25"/>
      <c r="I60" s="10"/>
      <c r="J60" s="27">
        <f>SUM(Q58:Q59)</f>
        <v>341.47</v>
      </c>
      <c r="K60" s="10">
        <f>Source!BZ26</f>
        <v>68</v>
      </c>
      <c r="L60" s="27">
        <f>SUM(R58:R59)</f>
        <v>7684.2</v>
      </c>
    </row>
    <row r="61" spans="1:27" ht="14.25" x14ac:dyDescent="0.2">
      <c r="A61" s="22"/>
      <c r="B61" s="22"/>
      <c r="C61" s="23"/>
      <c r="D61" s="23" t="s">
        <v>167</v>
      </c>
      <c r="E61" s="24" t="s">
        <v>166</v>
      </c>
      <c r="F61" s="10">
        <f>Source!DO26</f>
        <v>70</v>
      </c>
      <c r="G61" s="26"/>
      <c r="H61" s="25"/>
      <c r="I61" s="10"/>
      <c r="J61" s="27">
        <f>SUM(S58:S60)</f>
        <v>318.7</v>
      </c>
      <c r="K61" s="10">
        <f>Source!CA26</f>
        <v>41</v>
      </c>
      <c r="L61" s="27">
        <f>SUM(T58:T60)</f>
        <v>4633.12</v>
      </c>
    </row>
    <row r="62" spans="1:27" ht="14.25" x14ac:dyDescent="0.2">
      <c r="A62" s="22"/>
      <c r="B62" s="22"/>
      <c r="C62" s="23"/>
      <c r="D62" s="23" t="s">
        <v>169</v>
      </c>
      <c r="E62" s="24" t="s">
        <v>170</v>
      </c>
      <c r="F62" s="10">
        <f>Source!AQ26</f>
        <v>11</v>
      </c>
      <c r="G62" s="26"/>
      <c r="H62" s="25" t="str">
        <f>Source!DI26</f>
        <v>)*1,3</v>
      </c>
      <c r="I62" s="10">
        <f>Source!AV26</f>
        <v>1</v>
      </c>
      <c r="J62" s="27">
        <f>Source!U26</f>
        <v>28.6</v>
      </c>
      <c r="K62" s="10"/>
      <c r="L62" s="27"/>
    </row>
    <row r="63" spans="1:27" ht="15" x14ac:dyDescent="0.25">
      <c r="A63" s="30"/>
      <c r="B63" s="30"/>
      <c r="C63" s="30"/>
      <c r="D63" s="30"/>
      <c r="E63" s="30"/>
      <c r="F63" s="30"/>
      <c r="G63" s="30"/>
      <c r="H63" s="30"/>
      <c r="I63" s="52">
        <f>J59+J60+J61</f>
        <v>1115.46</v>
      </c>
      <c r="J63" s="52"/>
      <c r="K63" s="52">
        <f>L59+L60+L61</f>
        <v>23617.62</v>
      </c>
      <c r="L63" s="52"/>
      <c r="O63" s="29">
        <f>J59+J60+J61</f>
        <v>1115.46</v>
      </c>
      <c r="P63" s="29">
        <f>L59+L60+L61</f>
        <v>23617.62</v>
      </c>
      <c r="X63">
        <f>IF(Source!BI26&lt;=1,J59+J60+J61-0, 0)</f>
        <v>0</v>
      </c>
      <c r="Y63">
        <f>IF(Source!BI26=2,J59+J60+J61-0, 0)</f>
        <v>0</v>
      </c>
      <c r="Z63">
        <f>IF(Source!BI26=3,J59+J60+J61-0, 0)</f>
        <v>0</v>
      </c>
      <c r="AA63">
        <f>IF(Source!BI26=4,J59+J60+J61,0)</f>
        <v>1115.46</v>
      </c>
    </row>
    <row r="64" spans="1:27" ht="42.75" x14ac:dyDescent="0.2">
      <c r="A64" s="22">
        <v>4</v>
      </c>
      <c r="B64" s="22" t="str">
        <f>Source!E27</f>
        <v>4</v>
      </c>
      <c r="C64" s="23" t="str">
        <f>Source!F27</f>
        <v>5.1-158-1</v>
      </c>
      <c r="D64" s="23" t="s">
        <v>48</v>
      </c>
      <c r="E64" s="24" t="str">
        <f>Source!H27</f>
        <v>фазировка</v>
      </c>
      <c r="F64" s="10">
        <f>Source!I27</f>
        <v>2</v>
      </c>
      <c r="G64" s="26"/>
      <c r="H64" s="25"/>
      <c r="I64" s="10"/>
      <c r="J64" s="27"/>
      <c r="K64" s="10"/>
      <c r="L64" s="27"/>
      <c r="Q64">
        <f>ROUND((Source!DN27/100)*ROUND((ROUND((Source!AF27*Source!AV27*Source!I27),2)),2), 2)</f>
        <v>27.77</v>
      </c>
      <c r="R64">
        <f>Source!X27</f>
        <v>624.80999999999995</v>
      </c>
      <c r="S64">
        <f>ROUND((Source!DO27/100)*ROUND((ROUND((Source!AF27*Source!AV27*Source!I27),2)),2), 2)</f>
        <v>25.91</v>
      </c>
      <c r="T64">
        <f>Source!Y27</f>
        <v>376.72</v>
      </c>
      <c r="U64">
        <f>ROUND((175/100)*ROUND((ROUND((Source!AE27*Source!AV27*Source!I27),2)),2), 2)</f>
        <v>0</v>
      </c>
      <c r="V64">
        <f>ROUND((157/100)*ROUND(ROUND((ROUND((Source!AE27*Source!AV27*Source!I27),2)*Source!BS27),2), 2), 2)</f>
        <v>0</v>
      </c>
    </row>
    <row r="65" spans="1:27" ht="14.25" x14ac:dyDescent="0.2">
      <c r="A65" s="22"/>
      <c r="B65" s="22"/>
      <c r="C65" s="23"/>
      <c r="D65" s="23" t="s">
        <v>161</v>
      </c>
      <c r="E65" s="24"/>
      <c r="F65" s="10"/>
      <c r="G65" s="26">
        <f>Source!AO27</f>
        <v>14.24</v>
      </c>
      <c r="H65" s="25" t="str">
        <f>Source!DG27</f>
        <v>)*1,3</v>
      </c>
      <c r="I65" s="10">
        <f>Source!AV27</f>
        <v>1</v>
      </c>
      <c r="J65" s="27">
        <f>ROUND((ROUND((Source!AF27*Source!AV27*Source!I27),2)),2)</f>
        <v>37.020000000000003</v>
      </c>
      <c r="K65" s="10">
        <f>IF(Source!BA27&lt;&gt; 0, Source!BA27, 1)</f>
        <v>24.82</v>
      </c>
      <c r="L65" s="27">
        <f>Source!S27</f>
        <v>918.84</v>
      </c>
      <c r="W65">
        <f>J65</f>
        <v>37.020000000000003</v>
      </c>
    </row>
    <row r="66" spans="1:27" ht="14.25" x14ac:dyDescent="0.2">
      <c r="A66" s="22"/>
      <c r="B66" s="22"/>
      <c r="C66" s="23"/>
      <c r="D66" s="23" t="s">
        <v>165</v>
      </c>
      <c r="E66" s="24" t="s">
        <v>166</v>
      </c>
      <c r="F66" s="10">
        <f>Source!DN27</f>
        <v>75</v>
      </c>
      <c r="G66" s="26"/>
      <c r="H66" s="25"/>
      <c r="I66" s="10"/>
      <c r="J66" s="27">
        <f>SUM(Q64:Q65)</f>
        <v>27.77</v>
      </c>
      <c r="K66" s="10">
        <f>Source!BZ27</f>
        <v>68</v>
      </c>
      <c r="L66" s="27">
        <f>SUM(R64:R65)</f>
        <v>624.80999999999995</v>
      </c>
    </row>
    <row r="67" spans="1:27" ht="14.25" x14ac:dyDescent="0.2">
      <c r="A67" s="22"/>
      <c r="B67" s="22"/>
      <c r="C67" s="23"/>
      <c r="D67" s="23" t="s">
        <v>167</v>
      </c>
      <c r="E67" s="24" t="s">
        <v>166</v>
      </c>
      <c r="F67" s="10">
        <f>Source!DO27</f>
        <v>70</v>
      </c>
      <c r="G67" s="26"/>
      <c r="H67" s="25"/>
      <c r="I67" s="10"/>
      <c r="J67" s="27">
        <f>SUM(S64:S66)</f>
        <v>25.91</v>
      </c>
      <c r="K67" s="10">
        <f>Source!CA27</f>
        <v>41</v>
      </c>
      <c r="L67" s="27">
        <f>SUM(T64:T66)</f>
        <v>376.72</v>
      </c>
    </row>
    <row r="68" spans="1:27" ht="14.25" x14ac:dyDescent="0.2">
      <c r="A68" s="22"/>
      <c r="B68" s="22"/>
      <c r="C68" s="23"/>
      <c r="D68" s="23" t="s">
        <v>169</v>
      </c>
      <c r="E68" s="24" t="s">
        <v>170</v>
      </c>
      <c r="F68" s="10">
        <f>Source!AQ27</f>
        <v>0.9</v>
      </c>
      <c r="G68" s="26"/>
      <c r="H68" s="25" t="str">
        <f>Source!DI27</f>
        <v>)*1,3</v>
      </c>
      <c r="I68" s="10">
        <f>Source!AV27</f>
        <v>1</v>
      </c>
      <c r="J68" s="27">
        <f>Source!U27</f>
        <v>2.3400000000000003</v>
      </c>
      <c r="K68" s="10"/>
      <c r="L68" s="27"/>
    </row>
    <row r="69" spans="1:27" ht="15" x14ac:dyDescent="0.25">
      <c r="A69" s="30"/>
      <c r="B69" s="30"/>
      <c r="C69" s="30"/>
      <c r="D69" s="30"/>
      <c r="E69" s="30"/>
      <c r="F69" s="30"/>
      <c r="G69" s="30"/>
      <c r="H69" s="30"/>
      <c r="I69" s="52">
        <f>J65+J66+J67</f>
        <v>90.7</v>
      </c>
      <c r="J69" s="52"/>
      <c r="K69" s="52">
        <f>L65+L66+L67</f>
        <v>1920.3700000000001</v>
      </c>
      <c r="L69" s="52"/>
      <c r="O69" s="29">
        <f>J65+J66+J67</f>
        <v>90.7</v>
      </c>
      <c r="P69" s="29">
        <f>L65+L66+L67</f>
        <v>1920.3700000000001</v>
      </c>
      <c r="X69">
        <f>IF(Source!BI27&lt;=1,J65+J66+J67-0, 0)</f>
        <v>0</v>
      </c>
      <c r="Y69">
        <f>IF(Source!BI27=2,J65+J66+J67-0, 0)</f>
        <v>0</v>
      </c>
      <c r="Z69">
        <f>IF(Source!BI27=3,J65+J66+J67-0, 0)</f>
        <v>0</v>
      </c>
      <c r="AA69">
        <f>IF(Source!BI27=4,J65+J66+J67,0)</f>
        <v>90.7</v>
      </c>
    </row>
    <row r="70" spans="1:27" ht="57" x14ac:dyDescent="0.2">
      <c r="A70" s="22">
        <v>5</v>
      </c>
      <c r="B70" s="22" t="str">
        <f>Source!E28</f>
        <v>5</v>
      </c>
      <c r="C70" s="23" t="str">
        <f>Source!F28</f>
        <v>5.1-158-2</v>
      </c>
      <c r="D70" s="23" t="s">
        <v>53</v>
      </c>
      <c r="E70" s="24" t="str">
        <f>Source!H28</f>
        <v>фазировка</v>
      </c>
      <c r="F70" s="10">
        <f>Source!I28</f>
        <v>2</v>
      </c>
      <c r="G70" s="26"/>
      <c r="H70" s="25"/>
      <c r="I70" s="10"/>
      <c r="J70" s="27"/>
      <c r="K70" s="10"/>
      <c r="L70" s="27"/>
      <c r="Q70">
        <f>ROUND((Source!DN28/100)*ROUND((ROUND((Source!AF28*Source!AV28*Source!I28),2)),2), 2)</f>
        <v>55.55</v>
      </c>
      <c r="R70">
        <f>Source!X28</f>
        <v>1250.1300000000001</v>
      </c>
      <c r="S70">
        <f>ROUND((Source!DO28/100)*ROUND((ROUND((Source!AF28*Source!AV28*Source!I28),2)),2), 2)</f>
        <v>51.85</v>
      </c>
      <c r="T70">
        <f>Source!Y28</f>
        <v>753.75</v>
      </c>
      <c r="U70">
        <f>ROUND((175/100)*ROUND((ROUND((Source!AE28*Source!AV28*Source!I28),2)),2), 2)</f>
        <v>0</v>
      </c>
      <c r="V70">
        <f>ROUND((157/100)*ROUND(ROUND((ROUND((Source!AE28*Source!AV28*Source!I28),2)*Source!BS28),2), 2), 2)</f>
        <v>0</v>
      </c>
    </row>
    <row r="71" spans="1:27" ht="14.25" x14ac:dyDescent="0.2">
      <c r="A71" s="22"/>
      <c r="B71" s="22"/>
      <c r="C71" s="23"/>
      <c r="D71" s="23" t="s">
        <v>161</v>
      </c>
      <c r="E71" s="24"/>
      <c r="F71" s="10"/>
      <c r="G71" s="26">
        <f>Source!AO28</f>
        <v>28.49</v>
      </c>
      <c r="H71" s="25" t="str">
        <f>Source!DG28</f>
        <v>)*1,3</v>
      </c>
      <c r="I71" s="10">
        <f>Source!AV28</f>
        <v>1</v>
      </c>
      <c r="J71" s="27">
        <f>ROUND((ROUND((Source!AF28*Source!AV28*Source!I28),2)),2)</f>
        <v>74.069999999999993</v>
      </c>
      <c r="K71" s="10">
        <f>IF(Source!BA28&lt;&gt; 0, Source!BA28, 1)</f>
        <v>24.82</v>
      </c>
      <c r="L71" s="27">
        <f>Source!S28</f>
        <v>1838.42</v>
      </c>
      <c r="W71">
        <f>J71</f>
        <v>74.069999999999993</v>
      </c>
    </row>
    <row r="72" spans="1:27" ht="14.25" x14ac:dyDescent="0.2">
      <c r="A72" s="22"/>
      <c r="B72" s="22"/>
      <c r="C72" s="23"/>
      <c r="D72" s="23" t="s">
        <v>165</v>
      </c>
      <c r="E72" s="24" t="s">
        <v>166</v>
      </c>
      <c r="F72" s="10">
        <f>Source!DN28</f>
        <v>75</v>
      </c>
      <c r="G72" s="26"/>
      <c r="H72" s="25"/>
      <c r="I72" s="10"/>
      <c r="J72" s="27">
        <f>SUM(Q70:Q71)</f>
        <v>55.55</v>
      </c>
      <c r="K72" s="10">
        <f>Source!BZ28</f>
        <v>68</v>
      </c>
      <c r="L72" s="27">
        <f>SUM(R70:R71)</f>
        <v>1250.1300000000001</v>
      </c>
    </row>
    <row r="73" spans="1:27" ht="14.25" x14ac:dyDescent="0.2">
      <c r="A73" s="22"/>
      <c r="B73" s="22"/>
      <c r="C73" s="23"/>
      <c r="D73" s="23" t="s">
        <v>167</v>
      </c>
      <c r="E73" s="24" t="s">
        <v>166</v>
      </c>
      <c r="F73" s="10">
        <f>Source!DO28</f>
        <v>70</v>
      </c>
      <c r="G73" s="26"/>
      <c r="H73" s="25"/>
      <c r="I73" s="10"/>
      <c r="J73" s="27">
        <f>SUM(S70:S72)</f>
        <v>51.85</v>
      </c>
      <c r="K73" s="10">
        <f>Source!CA28</f>
        <v>41</v>
      </c>
      <c r="L73" s="27">
        <f>SUM(T70:T72)</f>
        <v>753.75</v>
      </c>
    </row>
    <row r="74" spans="1:27" ht="14.25" x14ac:dyDescent="0.2">
      <c r="A74" s="22"/>
      <c r="B74" s="22"/>
      <c r="C74" s="23"/>
      <c r="D74" s="23" t="s">
        <v>169</v>
      </c>
      <c r="E74" s="24" t="s">
        <v>170</v>
      </c>
      <c r="F74" s="10">
        <f>Source!AQ28</f>
        <v>1.8</v>
      </c>
      <c r="G74" s="26"/>
      <c r="H74" s="25" t="str">
        <f>Source!DI28</f>
        <v>)*1,3</v>
      </c>
      <c r="I74" s="10">
        <f>Source!AV28</f>
        <v>1</v>
      </c>
      <c r="J74" s="27">
        <f>Source!U28</f>
        <v>4.6800000000000006</v>
      </c>
      <c r="K74" s="10"/>
      <c r="L74" s="27"/>
    </row>
    <row r="75" spans="1:27" ht="15" x14ac:dyDescent="0.25">
      <c r="A75" s="30"/>
      <c r="B75" s="30"/>
      <c r="C75" s="30"/>
      <c r="D75" s="30"/>
      <c r="E75" s="30"/>
      <c r="F75" s="30"/>
      <c r="G75" s="30"/>
      <c r="H75" s="30"/>
      <c r="I75" s="52">
        <f>J71+J72+J73</f>
        <v>181.47</v>
      </c>
      <c r="J75" s="52"/>
      <c r="K75" s="52">
        <f>L71+L72+L73</f>
        <v>3842.3</v>
      </c>
      <c r="L75" s="52"/>
      <c r="O75" s="29">
        <f>J71+J72+J73</f>
        <v>181.47</v>
      </c>
      <c r="P75" s="29">
        <f>L71+L72+L73</f>
        <v>3842.3</v>
      </c>
      <c r="X75">
        <f>IF(Source!BI28&lt;=1,J71+J72+J73-0, 0)</f>
        <v>0</v>
      </c>
      <c r="Y75">
        <f>IF(Source!BI28=2,J71+J72+J73-0, 0)</f>
        <v>0</v>
      </c>
      <c r="Z75">
        <f>IF(Source!BI28=3,J71+J72+J73-0, 0)</f>
        <v>0</v>
      </c>
      <c r="AA75">
        <f>IF(Source!BI28=4,J71+J72+J73,0)</f>
        <v>181.47</v>
      </c>
    </row>
    <row r="76" spans="1:27" ht="28.5" x14ac:dyDescent="0.2">
      <c r="A76" s="22">
        <v>6</v>
      </c>
      <c r="B76" s="22" t="str">
        <f>Source!E29</f>
        <v>6</v>
      </c>
      <c r="C76" s="23" t="str">
        <f>Source!F29</f>
        <v>5.1-167-1</v>
      </c>
      <c r="D76" s="23" t="s">
        <v>57</v>
      </c>
      <c r="E76" s="24" t="str">
        <f>Source!H29</f>
        <v>испытание</v>
      </c>
      <c r="F76" s="10">
        <f>Source!I29</f>
        <v>4</v>
      </c>
      <c r="G76" s="26"/>
      <c r="H76" s="25"/>
      <c r="I76" s="10"/>
      <c r="J76" s="27"/>
      <c r="K76" s="10"/>
      <c r="L76" s="27"/>
      <c r="Q76">
        <f>ROUND((Source!DN29/100)*ROUND((ROUND((Source!AF29*Source!AV29*Source!I29),2)),2), 2)</f>
        <v>178.35</v>
      </c>
      <c r="R76">
        <f>Source!X29</f>
        <v>4013.5</v>
      </c>
      <c r="S76">
        <f>ROUND((Source!DO29/100)*ROUND((ROUND((Source!AF29*Source!AV29*Source!I29),2)),2), 2)</f>
        <v>166.46</v>
      </c>
      <c r="T76">
        <f>Source!Y29</f>
        <v>2419.9</v>
      </c>
      <c r="U76">
        <f>ROUND((175/100)*ROUND((ROUND((Source!AE29*Source!AV29*Source!I29),2)),2), 2)</f>
        <v>0</v>
      </c>
      <c r="V76">
        <f>ROUND((157/100)*ROUND(ROUND((ROUND((Source!AE29*Source!AV29*Source!I29),2)*Source!BS29),2), 2), 2)</f>
        <v>0</v>
      </c>
    </row>
    <row r="77" spans="1:27" ht="14.25" x14ac:dyDescent="0.2">
      <c r="A77" s="22"/>
      <c r="B77" s="22"/>
      <c r="C77" s="23"/>
      <c r="D77" s="23" t="s">
        <v>161</v>
      </c>
      <c r="E77" s="24"/>
      <c r="F77" s="10"/>
      <c r="G77" s="26">
        <f>Source!AO29</f>
        <v>45.73</v>
      </c>
      <c r="H77" s="25" t="str">
        <f>Source!DG29</f>
        <v>)*1,3</v>
      </c>
      <c r="I77" s="10">
        <f>Source!AV29</f>
        <v>1</v>
      </c>
      <c r="J77" s="27">
        <f>ROUND((ROUND((Source!AF29*Source!AV29*Source!I29),2)),2)</f>
        <v>237.8</v>
      </c>
      <c r="K77" s="10">
        <f>IF(Source!BA29&lt;&gt; 0, Source!BA29, 1)</f>
        <v>24.82</v>
      </c>
      <c r="L77" s="27">
        <f>Source!S29</f>
        <v>5902.2</v>
      </c>
      <c r="W77">
        <f>J77</f>
        <v>237.8</v>
      </c>
    </row>
    <row r="78" spans="1:27" ht="14.25" x14ac:dyDescent="0.2">
      <c r="A78" s="22"/>
      <c r="B78" s="22"/>
      <c r="C78" s="23"/>
      <c r="D78" s="23" t="s">
        <v>165</v>
      </c>
      <c r="E78" s="24" t="s">
        <v>166</v>
      </c>
      <c r="F78" s="10">
        <f>Source!DN29</f>
        <v>75</v>
      </c>
      <c r="G78" s="26"/>
      <c r="H78" s="25"/>
      <c r="I78" s="10"/>
      <c r="J78" s="27">
        <f>SUM(Q76:Q77)</f>
        <v>178.35</v>
      </c>
      <c r="K78" s="10">
        <f>Source!BZ29</f>
        <v>68</v>
      </c>
      <c r="L78" s="27">
        <f>SUM(R76:R77)</f>
        <v>4013.5</v>
      </c>
    </row>
    <row r="79" spans="1:27" ht="14.25" x14ac:dyDescent="0.2">
      <c r="A79" s="22"/>
      <c r="B79" s="22"/>
      <c r="C79" s="23"/>
      <c r="D79" s="23" t="s">
        <v>167</v>
      </c>
      <c r="E79" s="24" t="s">
        <v>166</v>
      </c>
      <c r="F79" s="10">
        <f>Source!DO29</f>
        <v>70</v>
      </c>
      <c r="G79" s="26"/>
      <c r="H79" s="25"/>
      <c r="I79" s="10"/>
      <c r="J79" s="27">
        <f>SUM(S76:S78)</f>
        <v>166.46</v>
      </c>
      <c r="K79" s="10">
        <f>Source!CA29</f>
        <v>41</v>
      </c>
      <c r="L79" s="27">
        <f>SUM(T76:T78)</f>
        <v>2419.9</v>
      </c>
    </row>
    <row r="80" spans="1:27" ht="14.25" x14ac:dyDescent="0.2">
      <c r="A80" s="22"/>
      <c r="B80" s="22"/>
      <c r="C80" s="23"/>
      <c r="D80" s="23" t="s">
        <v>169</v>
      </c>
      <c r="E80" s="24" t="s">
        <v>170</v>
      </c>
      <c r="F80" s="10">
        <f>Source!AQ29</f>
        <v>2.7</v>
      </c>
      <c r="G80" s="26"/>
      <c r="H80" s="25" t="str">
        <f>Source!DI29</f>
        <v>)*1,3</v>
      </c>
      <c r="I80" s="10">
        <f>Source!AV29</f>
        <v>1</v>
      </c>
      <c r="J80" s="27">
        <f>Source!U29</f>
        <v>14.040000000000001</v>
      </c>
      <c r="K80" s="10"/>
      <c r="L80" s="27"/>
    </row>
    <row r="81" spans="1:27" ht="15" x14ac:dyDescent="0.25">
      <c r="A81" s="30"/>
      <c r="B81" s="30"/>
      <c r="C81" s="30"/>
      <c r="D81" s="30"/>
      <c r="E81" s="30"/>
      <c r="F81" s="30"/>
      <c r="G81" s="30"/>
      <c r="H81" s="30"/>
      <c r="I81" s="52">
        <f>J77+J78+J79</f>
        <v>582.61</v>
      </c>
      <c r="J81" s="52"/>
      <c r="K81" s="52">
        <f>L77+L78+L79</f>
        <v>12335.6</v>
      </c>
      <c r="L81" s="52"/>
      <c r="O81" s="29">
        <f>J77+J78+J79</f>
        <v>582.61</v>
      </c>
      <c r="P81" s="29">
        <f>L77+L78+L79</f>
        <v>12335.6</v>
      </c>
      <c r="X81">
        <f>IF(Source!BI29&lt;=1,J77+J78+J79-0, 0)</f>
        <v>0</v>
      </c>
      <c r="Y81">
        <f>IF(Source!BI29=2,J77+J78+J79-0, 0)</f>
        <v>0</v>
      </c>
      <c r="Z81">
        <f>IF(Source!BI29=3,J77+J78+J79-0, 0)</f>
        <v>0</v>
      </c>
      <c r="AA81">
        <f>IF(Source!BI29=4,J77+J78+J79,0)</f>
        <v>582.61</v>
      </c>
    </row>
    <row r="82" spans="1:27" ht="28.5" x14ac:dyDescent="0.2">
      <c r="A82" s="22">
        <v>7</v>
      </c>
      <c r="B82" s="22" t="str">
        <f>Source!E30</f>
        <v>7</v>
      </c>
      <c r="C82" s="23" t="str">
        <f>Source!F30</f>
        <v>5.1-168-1</v>
      </c>
      <c r="D82" s="23" t="s">
        <v>64</v>
      </c>
      <c r="E82" s="24" t="str">
        <f>Source!H30</f>
        <v>испытание</v>
      </c>
      <c r="F82" s="10">
        <f>Source!I30</f>
        <v>6</v>
      </c>
      <c r="G82" s="26"/>
      <c r="H82" s="25"/>
      <c r="I82" s="10"/>
      <c r="J82" s="27"/>
      <c r="K82" s="10"/>
      <c r="L82" s="27"/>
      <c r="Q82">
        <f>ROUND((Source!DN30/100)*ROUND((ROUND((Source!AF30*Source!AV30*Source!I30),2)),2), 2)</f>
        <v>711.77</v>
      </c>
      <c r="R82">
        <f>Source!X30</f>
        <v>16017.35</v>
      </c>
      <c r="S82">
        <f>ROUND((Source!DO30/100)*ROUND((ROUND((Source!AF30*Source!AV30*Source!I30),2)),2), 2)</f>
        <v>664.32</v>
      </c>
      <c r="T82">
        <f>Source!Y30</f>
        <v>9657.52</v>
      </c>
      <c r="U82">
        <f>ROUND((175/100)*ROUND((ROUND((Source!AE30*Source!AV30*Source!I30),2)),2), 2)</f>
        <v>0</v>
      </c>
      <c r="V82">
        <f>ROUND((157/100)*ROUND(ROUND((ROUND((Source!AE30*Source!AV30*Source!I30),2)*Source!BS30),2), 2), 2)</f>
        <v>0</v>
      </c>
    </row>
    <row r="83" spans="1:27" ht="14.25" x14ac:dyDescent="0.2">
      <c r="A83" s="22"/>
      <c r="B83" s="22"/>
      <c r="C83" s="23"/>
      <c r="D83" s="23" t="s">
        <v>161</v>
      </c>
      <c r="E83" s="24"/>
      <c r="F83" s="10"/>
      <c r="G83" s="26">
        <f>Source!AO30</f>
        <v>121.67</v>
      </c>
      <c r="H83" s="25" t="str">
        <f>Source!DG30</f>
        <v>)*1,3</v>
      </c>
      <c r="I83" s="10">
        <f>Source!AV30</f>
        <v>1</v>
      </c>
      <c r="J83" s="27">
        <f>ROUND((ROUND((Source!AF30*Source!AV30*Source!I30),2)),2)</f>
        <v>949.03</v>
      </c>
      <c r="K83" s="10">
        <f>IF(Source!BA30&lt;&gt; 0, Source!BA30, 1)</f>
        <v>24.82</v>
      </c>
      <c r="L83" s="27">
        <f>Source!S30</f>
        <v>23554.92</v>
      </c>
      <c r="W83">
        <f>J83</f>
        <v>949.03</v>
      </c>
    </row>
    <row r="84" spans="1:27" ht="14.25" x14ac:dyDescent="0.2">
      <c r="A84" s="22"/>
      <c r="B84" s="22"/>
      <c r="C84" s="23"/>
      <c r="D84" s="23" t="s">
        <v>165</v>
      </c>
      <c r="E84" s="24" t="s">
        <v>166</v>
      </c>
      <c r="F84" s="10">
        <f>Source!DN30</f>
        <v>75</v>
      </c>
      <c r="G84" s="26"/>
      <c r="H84" s="25"/>
      <c r="I84" s="10"/>
      <c r="J84" s="27">
        <f>SUM(Q82:Q83)</f>
        <v>711.77</v>
      </c>
      <c r="K84" s="10">
        <f>Source!BZ30</f>
        <v>68</v>
      </c>
      <c r="L84" s="27">
        <f>SUM(R82:R83)</f>
        <v>16017.35</v>
      </c>
    </row>
    <row r="85" spans="1:27" ht="14.25" x14ac:dyDescent="0.2">
      <c r="A85" s="22"/>
      <c r="B85" s="22"/>
      <c r="C85" s="23"/>
      <c r="D85" s="23" t="s">
        <v>167</v>
      </c>
      <c r="E85" s="24" t="s">
        <v>166</v>
      </c>
      <c r="F85" s="10">
        <f>Source!DO30</f>
        <v>70</v>
      </c>
      <c r="G85" s="26"/>
      <c r="H85" s="25"/>
      <c r="I85" s="10"/>
      <c r="J85" s="27">
        <f>SUM(S82:S84)</f>
        <v>664.32</v>
      </c>
      <c r="K85" s="10">
        <f>Source!CA30</f>
        <v>41</v>
      </c>
      <c r="L85" s="27">
        <f>SUM(T82:T84)</f>
        <v>9657.52</v>
      </c>
    </row>
    <row r="86" spans="1:27" ht="14.25" x14ac:dyDescent="0.2">
      <c r="A86" s="22"/>
      <c r="B86" s="22"/>
      <c r="C86" s="23"/>
      <c r="D86" s="23" t="s">
        <v>169</v>
      </c>
      <c r="E86" s="24" t="s">
        <v>170</v>
      </c>
      <c r="F86" s="10">
        <f>Source!AQ30</f>
        <v>8.1</v>
      </c>
      <c r="G86" s="26"/>
      <c r="H86" s="25" t="str">
        <f>Source!DI30</f>
        <v>)*1,3</v>
      </c>
      <c r="I86" s="10">
        <f>Source!AV30</f>
        <v>1</v>
      </c>
      <c r="J86" s="27">
        <f>Source!U30</f>
        <v>63.179999999999993</v>
      </c>
      <c r="K86" s="10"/>
      <c r="L86" s="27"/>
    </row>
    <row r="87" spans="1:27" ht="15" x14ac:dyDescent="0.25">
      <c r="A87" s="30"/>
      <c r="B87" s="30"/>
      <c r="C87" s="30"/>
      <c r="D87" s="30"/>
      <c r="E87" s="30"/>
      <c r="F87" s="30"/>
      <c r="G87" s="30"/>
      <c r="H87" s="30"/>
      <c r="I87" s="52">
        <f>J83+J84+J85</f>
        <v>2325.12</v>
      </c>
      <c r="J87" s="52"/>
      <c r="K87" s="52">
        <f>L83+L84+L85</f>
        <v>49229.789999999994</v>
      </c>
      <c r="L87" s="52"/>
      <c r="O87" s="29">
        <f>J83+J84+J85</f>
        <v>2325.12</v>
      </c>
      <c r="P87" s="29">
        <f>L83+L84+L85</f>
        <v>49229.789999999994</v>
      </c>
      <c r="X87">
        <f>IF(Source!BI30&lt;=1,J83+J84+J85-0, 0)</f>
        <v>0</v>
      </c>
      <c r="Y87">
        <f>IF(Source!BI30=2,J83+J84+J85-0, 0)</f>
        <v>0</v>
      </c>
      <c r="Z87">
        <f>IF(Source!BI30=3,J83+J84+J85-0, 0)</f>
        <v>0</v>
      </c>
      <c r="AA87">
        <f>IF(Source!BI30=4,J83+J84+J85,0)</f>
        <v>2325.12</v>
      </c>
    </row>
    <row r="88" spans="1:27" ht="57" x14ac:dyDescent="0.2">
      <c r="A88" s="22">
        <v>8</v>
      </c>
      <c r="B88" s="22" t="str">
        <f>Source!E31</f>
        <v>8</v>
      </c>
      <c r="C88" s="23" t="str">
        <f>Source!F31</f>
        <v>КТЦ 01/2012 500-9700-314</v>
      </c>
      <c r="D88" s="23" t="s">
        <v>68</v>
      </c>
      <c r="E88" s="24" t="str">
        <f>Source!H31</f>
        <v>шт.</v>
      </c>
      <c r="F88" s="10">
        <f>Source!I31</f>
        <v>2</v>
      </c>
      <c r="G88" s="26"/>
      <c r="H88" s="25"/>
      <c r="I88" s="10"/>
      <c r="J88" s="27"/>
      <c r="K88" s="10"/>
      <c r="L88" s="27"/>
      <c r="Q88">
        <f>ROUND((Source!DN31/100)*ROUND((ROUND((Source!AF31*Source!AV31*Source!I31),2)),2), 2)</f>
        <v>0</v>
      </c>
      <c r="R88">
        <f>Source!X31</f>
        <v>0</v>
      </c>
      <c r="S88">
        <f>ROUND((Source!DO31/100)*ROUND((ROUND((Source!AF31*Source!AV31*Source!I31),2)),2), 2)</f>
        <v>0</v>
      </c>
      <c r="T88">
        <f>Source!Y31</f>
        <v>0</v>
      </c>
      <c r="U88">
        <f>ROUND((175/100)*ROUND((ROUND((Source!AE31*Source!AV31*Source!I31),2)),2), 2)</f>
        <v>0</v>
      </c>
      <c r="V88">
        <f>ROUND((157/100)*ROUND(ROUND((ROUND((Source!AE31*Source!AV31*Source!I31),2)*Source!BS31),2), 2), 2)</f>
        <v>0</v>
      </c>
    </row>
    <row r="89" spans="1:27" ht="14.25" x14ac:dyDescent="0.2">
      <c r="A89" s="22"/>
      <c r="B89" s="22"/>
      <c r="C89" s="23"/>
      <c r="D89" s="23" t="s">
        <v>164</v>
      </c>
      <c r="E89" s="24"/>
      <c r="F89" s="10"/>
      <c r="G89" s="26">
        <f>Source!AL31</f>
        <v>267200</v>
      </c>
      <c r="H89" s="25" t="str">
        <f>Source!DD31</f>
        <v/>
      </c>
      <c r="I89" s="10">
        <f>Source!AW31</f>
        <v>1</v>
      </c>
      <c r="J89" s="27">
        <f>ROUND((ROUND((Source!AC31*Source!AW31*Source!I31),2)),2)</f>
        <v>534400</v>
      </c>
      <c r="K89" s="10">
        <f>IF(Source!BC31&lt;&gt; 0, Source!BC31, 1)</f>
        <v>1</v>
      </c>
      <c r="L89" s="27">
        <f>Source!P31</f>
        <v>534400</v>
      </c>
    </row>
    <row r="90" spans="1:27" ht="15" x14ac:dyDescent="0.25">
      <c r="A90" s="30"/>
      <c r="B90" s="30"/>
      <c r="C90" s="30"/>
      <c r="D90" s="30"/>
      <c r="E90" s="30"/>
      <c r="F90" s="30"/>
      <c r="G90" s="30"/>
      <c r="H90" s="30"/>
      <c r="I90" s="52">
        <f>J89</f>
        <v>534400</v>
      </c>
      <c r="J90" s="52"/>
      <c r="K90" s="52">
        <f>L89</f>
        <v>534400</v>
      </c>
      <c r="L90" s="52"/>
      <c r="O90" s="29">
        <f>J89</f>
        <v>534400</v>
      </c>
      <c r="P90" s="29">
        <f>L89</f>
        <v>534400</v>
      </c>
      <c r="X90">
        <f>IF(Source!BI31&lt;=1,J89-0, 0)</f>
        <v>0</v>
      </c>
      <c r="Y90">
        <f>IF(Source!BI31=2,J89-0, 0)</f>
        <v>0</v>
      </c>
      <c r="Z90">
        <f>IF(Source!BI31=3,J89-0, 0)</f>
        <v>0</v>
      </c>
      <c r="AA90">
        <f>IF(Source!BI31=4,J89,0)</f>
        <v>534400</v>
      </c>
    </row>
    <row r="92" spans="1:27" ht="15" x14ac:dyDescent="0.25">
      <c r="A92" s="49" t="str">
        <f>CONCATENATE("Итого по локальной смете: ",IF(Source!G33&lt;&gt;"Новая локальная смета", Source!G33, ""))</f>
        <v>Итого по локальной смете: Замена силовых трансформаторов</v>
      </c>
      <c r="B92" s="49"/>
      <c r="C92" s="49"/>
      <c r="D92" s="49"/>
      <c r="E92" s="49"/>
      <c r="F92" s="49"/>
      <c r="G92" s="49"/>
      <c r="H92" s="49"/>
      <c r="I92" s="50">
        <f>SUM(O39:O91)</f>
        <v>545074.56999999995</v>
      </c>
      <c r="J92" s="51"/>
      <c r="K92" s="50">
        <f>SUM(P39:P91)</f>
        <v>725610.78</v>
      </c>
      <c r="L92" s="51"/>
    </row>
    <row r="93" spans="1:27" hidden="1" x14ac:dyDescent="0.2">
      <c r="A93" t="s">
        <v>171</v>
      </c>
      <c r="J93">
        <f>SUM(AC39:AC92)</f>
        <v>0</v>
      </c>
      <c r="K93">
        <f>SUM(AD39:AD92)</f>
        <v>0</v>
      </c>
    </row>
    <row r="94" spans="1:27" hidden="1" x14ac:dyDescent="0.2">
      <c r="A94" t="s">
        <v>172</v>
      </c>
      <c r="J94">
        <f>SUM(AE39:AE93)</f>
        <v>0</v>
      </c>
      <c r="K94">
        <f>SUM(AF39:AF93)</f>
        <v>0</v>
      </c>
    </row>
    <row r="96" spans="1:27" ht="15" x14ac:dyDescent="0.25">
      <c r="A96" s="49" t="str">
        <f>CONCATENATE("Итого по смете: ",IF(Source!G62&lt;&gt;"Новый объект", Source!G62, ""))</f>
        <v>Итого по смете: ТП-515 - Замена Трансформаторов</v>
      </c>
      <c r="B96" s="49"/>
      <c r="C96" s="49"/>
      <c r="D96" s="49"/>
      <c r="E96" s="49"/>
      <c r="F96" s="49"/>
      <c r="G96" s="49"/>
      <c r="H96" s="49"/>
      <c r="I96" s="50">
        <f>SUM(O1:O95)</f>
        <v>545074.56999999995</v>
      </c>
      <c r="J96" s="51"/>
      <c r="K96" s="50">
        <f>SUM(P1:P95)</f>
        <v>725610.78</v>
      </c>
      <c r="L96" s="51"/>
    </row>
    <row r="97" spans="1:12" hidden="1" x14ac:dyDescent="0.2">
      <c r="A97" t="s">
        <v>171</v>
      </c>
      <c r="J97">
        <f>SUM(AC1:AC96)</f>
        <v>0</v>
      </c>
      <c r="K97">
        <f>SUM(AD1:AD96)</f>
        <v>0</v>
      </c>
    </row>
    <row r="98" spans="1:12" hidden="1" x14ac:dyDescent="0.2">
      <c r="A98" t="s">
        <v>172</v>
      </c>
      <c r="J98">
        <f>SUM(AE1:AE97)</f>
        <v>0</v>
      </c>
      <c r="K98">
        <f>SUM(AF1:AF97)</f>
        <v>0</v>
      </c>
    </row>
    <row r="99" spans="1:12" ht="14.25" x14ac:dyDescent="0.2">
      <c r="D99" s="45" t="str">
        <f>Source!H91</f>
        <v>НДС 20%</v>
      </c>
      <c r="E99" s="45"/>
      <c r="F99" s="45"/>
      <c r="G99" s="45"/>
      <c r="H99" s="45"/>
      <c r="I99" s="45"/>
      <c r="J99" s="45"/>
      <c r="K99" s="46">
        <f>IF(Source!F91=0, "", Source!F91)</f>
        <v>145122.16</v>
      </c>
      <c r="L99" s="46"/>
    </row>
    <row r="100" spans="1:12" ht="14.25" x14ac:dyDescent="0.2">
      <c r="D100" s="45" t="str">
        <f>Source!H92</f>
        <v>Итого с НДС</v>
      </c>
      <c r="E100" s="45"/>
      <c r="F100" s="45"/>
      <c r="G100" s="45"/>
      <c r="H100" s="45"/>
      <c r="I100" s="45"/>
      <c r="J100" s="45"/>
      <c r="K100" s="46">
        <f>IF(Source!F92=0, "", Source!F92)</f>
        <v>870732.94</v>
      </c>
      <c r="L100" s="46"/>
    </row>
    <row r="103" spans="1:12" ht="14.25" x14ac:dyDescent="0.2">
      <c r="A103" s="11"/>
      <c r="B103" s="47" t="s">
        <v>209</v>
      </c>
      <c r="C103" s="47"/>
      <c r="D103" s="32" t="str">
        <f>IF(Source!AM12&lt;&gt;"", Source!AM12," ")</f>
        <v xml:space="preserve"> </v>
      </c>
      <c r="E103" s="32"/>
      <c r="F103" s="32"/>
      <c r="G103" s="32"/>
      <c r="H103" s="32"/>
      <c r="I103" s="11" t="str">
        <f>IF(Source!AL12&lt;&gt;"", Source!AL12," ")</f>
        <v xml:space="preserve"> </v>
      </c>
      <c r="J103" s="11"/>
      <c r="K103" s="11"/>
    </row>
    <row r="104" spans="1:12" ht="14.25" x14ac:dyDescent="0.2">
      <c r="A104" s="11"/>
      <c r="B104" s="11"/>
      <c r="C104" s="11"/>
      <c r="D104" s="48" t="s">
        <v>175</v>
      </c>
      <c r="E104" s="48"/>
      <c r="F104" s="48"/>
      <c r="G104" s="48"/>
      <c r="H104" s="48"/>
      <c r="I104" s="11"/>
      <c r="J104" s="11"/>
      <c r="K104" s="11"/>
    </row>
    <row r="105" spans="1:12" ht="14.2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2" ht="14.25" x14ac:dyDescent="0.2">
      <c r="A106" s="11"/>
      <c r="B106" s="47" t="s">
        <v>210</v>
      </c>
      <c r="C106" s="47"/>
      <c r="D106" s="32" t="str">
        <f>IF(Source!AI12&lt;&gt;"", Source!AI12," ")</f>
        <v>Директор</v>
      </c>
      <c r="E106" s="32"/>
      <c r="F106" s="32"/>
      <c r="G106" s="32"/>
      <c r="H106" s="32"/>
      <c r="I106" s="11" t="str">
        <f>IF(Source!AH12&lt;&gt;"", Source!AH12," ")</f>
        <v>А.П. Воробьева</v>
      </c>
      <c r="J106" s="11"/>
      <c r="K106" s="11"/>
    </row>
    <row r="107" spans="1:12" ht="14.25" x14ac:dyDescent="0.2">
      <c r="A107" s="11"/>
      <c r="B107" s="11"/>
      <c r="C107" s="11"/>
      <c r="D107" s="48" t="s">
        <v>175</v>
      </c>
      <c r="E107" s="48"/>
      <c r="F107" s="48"/>
      <c r="G107" s="48"/>
      <c r="H107" s="48"/>
      <c r="I107" s="11"/>
      <c r="J107" s="11"/>
      <c r="K107" s="11"/>
    </row>
  </sheetData>
  <mergeCells count="76">
    <mergeCell ref="I2:L2"/>
    <mergeCell ref="I3:L3"/>
    <mergeCell ref="I4:L4"/>
    <mergeCell ref="J6:L6"/>
    <mergeCell ref="J7:L7"/>
    <mergeCell ref="C9:H9"/>
    <mergeCell ref="C10:H10"/>
    <mergeCell ref="J10:L11"/>
    <mergeCell ref="C11:H11"/>
    <mergeCell ref="C12:H12"/>
    <mergeCell ref="J12:L13"/>
    <mergeCell ref="C13:H13"/>
    <mergeCell ref="J8:L9"/>
    <mergeCell ref="C14:H14"/>
    <mergeCell ref="J14:L15"/>
    <mergeCell ref="C15:H15"/>
    <mergeCell ref="C16:H16"/>
    <mergeCell ref="J16:L17"/>
    <mergeCell ref="C17:H17"/>
    <mergeCell ref="A29:L29"/>
    <mergeCell ref="C18:H18"/>
    <mergeCell ref="G19:I19"/>
    <mergeCell ref="J19:L19"/>
    <mergeCell ref="G20:H20"/>
    <mergeCell ref="J20:L20"/>
    <mergeCell ref="J21:L21"/>
    <mergeCell ref="J22:L22"/>
    <mergeCell ref="G24:G25"/>
    <mergeCell ref="H24:H25"/>
    <mergeCell ref="I24:J24"/>
    <mergeCell ref="A28:L28"/>
    <mergeCell ref="K48:L48"/>
    <mergeCell ref="I48:J48"/>
    <mergeCell ref="H31:I31"/>
    <mergeCell ref="A32:L32"/>
    <mergeCell ref="A33:B33"/>
    <mergeCell ref="C33:C37"/>
    <mergeCell ref="D33:D37"/>
    <mergeCell ref="E33:E37"/>
    <mergeCell ref="F33:F37"/>
    <mergeCell ref="G33:G37"/>
    <mergeCell ref="H33:H37"/>
    <mergeCell ref="I33:I37"/>
    <mergeCell ref="J33:J37"/>
    <mergeCell ref="K33:K37"/>
    <mergeCell ref="L33:L37"/>
    <mergeCell ref="A34:A37"/>
    <mergeCell ref="B34:B37"/>
    <mergeCell ref="K57:L57"/>
    <mergeCell ref="I57:J57"/>
    <mergeCell ref="K63:L63"/>
    <mergeCell ref="I63:J63"/>
    <mergeCell ref="K69:L69"/>
    <mergeCell ref="I69:J69"/>
    <mergeCell ref="K96:L96"/>
    <mergeCell ref="I96:J96"/>
    <mergeCell ref="A96:H96"/>
    <mergeCell ref="K75:L75"/>
    <mergeCell ref="I75:J75"/>
    <mergeCell ref="K81:L81"/>
    <mergeCell ref="I81:J81"/>
    <mergeCell ref="K87:L87"/>
    <mergeCell ref="I87:J87"/>
    <mergeCell ref="K90:L90"/>
    <mergeCell ref="I90:J90"/>
    <mergeCell ref="K92:L92"/>
    <mergeCell ref="I92:J92"/>
    <mergeCell ref="A92:H92"/>
    <mergeCell ref="B106:C106"/>
    <mergeCell ref="D107:H107"/>
    <mergeCell ref="D99:J99"/>
    <mergeCell ref="K99:L99"/>
    <mergeCell ref="D100:J100"/>
    <mergeCell ref="K100:L100"/>
    <mergeCell ref="B103:C103"/>
    <mergeCell ref="D104:H104"/>
  </mergeCells>
  <pageMargins left="0.4" right="0.2" top="0.2" bottom="0.4" header="0.2" footer="0.2"/>
  <pageSetup paperSize="9" scale="62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36" t="str">
        <f>Source!B1</f>
        <v>Smeta.RU  (495) 974-1589</v>
      </c>
      <c r="B1" s="136"/>
      <c r="C1" s="136"/>
      <c r="D1" s="136"/>
      <c r="E1" s="11"/>
      <c r="F1" s="11"/>
      <c r="G1" s="11"/>
      <c r="H1" s="137" t="s">
        <v>211</v>
      </c>
      <c r="I1" s="137"/>
      <c r="J1" s="137"/>
      <c r="K1" s="137"/>
      <c r="L1" s="137"/>
    </row>
    <row r="2" spans="1:12" ht="14.25" x14ac:dyDescent="0.2">
      <c r="A2" s="11"/>
      <c r="B2" s="11"/>
      <c r="C2" s="11"/>
      <c r="D2" s="11"/>
      <c r="E2" s="11"/>
      <c r="F2" s="11"/>
      <c r="G2" s="11"/>
      <c r="H2" s="137" t="s">
        <v>178</v>
      </c>
      <c r="I2" s="137"/>
      <c r="J2" s="137"/>
      <c r="K2" s="137"/>
      <c r="L2" s="137"/>
    </row>
    <row r="3" spans="1:12" ht="14.25" x14ac:dyDescent="0.2">
      <c r="A3" s="11"/>
      <c r="B3" s="11"/>
      <c r="C3" s="11"/>
      <c r="D3" s="11"/>
      <c r="E3" s="11"/>
      <c r="F3" s="11"/>
      <c r="G3" s="11"/>
      <c r="H3" s="137" t="s">
        <v>179</v>
      </c>
      <c r="I3" s="137"/>
      <c r="J3" s="137"/>
      <c r="K3" s="137"/>
      <c r="L3" s="137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99" t="s">
        <v>212</v>
      </c>
      <c r="L4" s="101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78" t="s">
        <v>181</v>
      </c>
      <c r="J5" s="78"/>
      <c r="K5" s="99">
        <v>322001</v>
      </c>
      <c r="L5" s="101"/>
    </row>
    <row r="6" spans="1:12" ht="14.25" x14ac:dyDescent="0.2">
      <c r="A6" s="78" t="s">
        <v>213</v>
      </c>
      <c r="B6" s="78"/>
      <c r="C6" s="133"/>
      <c r="D6" s="133"/>
      <c r="E6" s="133"/>
      <c r="F6" s="133"/>
      <c r="G6" s="133"/>
      <c r="H6" s="133"/>
      <c r="I6" s="133"/>
      <c r="J6" s="10" t="s">
        <v>184</v>
      </c>
      <c r="K6" s="99"/>
      <c r="L6" s="101"/>
    </row>
    <row r="7" spans="1:12" ht="14.25" x14ac:dyDescent="0.2">
      <c r="A7" s="11"/>
      <c r="B7" s="11"/>
      <c r="C7" s="48" t="s">
        <v>185</v>
      </c>
      <c r="D7" s="48"/>
      <c r="E7" s="48"/>
      <c r="F7" s="48"/>
      <c r="G7" s="48"/>
      <c r="H7" s="48"/>
      <c r="I7" s="48"/>
      <c r="J7" s="11"/>
      <c r="K7" s="33"/>
      <c r="L7" s="40"/>
    </row>
    <row r="8" spans="1:12" ht="14.25" x14ac:dyDescent="0.2">
      <c r="A8" s="78" t="s">
        <v>214</v>
      </c>
      <c r="B8" s="78"/>
      <c r="C8" s="133"/>
      <c r="D8" s="133"/>
      <c r="E8" s="133"/>
      <c r="F8" s="133"/>
      <c r="G8" s="133"/>
      <c r="H8" s="133"/>
      <c r="I8" s="32"/>
      <c r="J8" s="10" t="s">
        <v>184</v>
      </c>
      <c r="K8" s="134"/>
      <c r="L8" s="135"/>
    </row>
    <row r="9" spans="1:12" ht="14.25" x14ac:dyDescent="0.2">
      <c r="A9" s="11"/>
      <c r="B9" s="11"/>
      <c r="C9" s="48" t="s">
        <v>185</v>
      </c>
      <c r="D9" s="48"/>
      <c r="E9" s="48"/>
      <c r="F9" s="48"/>
      <c r="G9" s="48"/>
      <c r="H9" s="48"/>
      <c r="I9" s="48"/>
      <c r="J9" s="11"/>
      <c r="K9" s="33"/>
      <c r="L9" s="40"/>
    </row>
    <row r="10" spans="1:12" ht="14.25" x14ac:dyDescent="0.2">
      <c r="A10" s="78" t="s">
        <v>215</v>
      </c>
      <c r="B10" s="78"/>
      <c r="C10" s="133"/>
      <c r="D10" s="133"/>
      <c r="E10" s="133"/>
      <c r="F10" s="133"/>
      <c r="G10" s="133"/>
      <c r="H10" s="133"/>
      <c r="I10" s="133"/>
      <c r="J10" s="10" t="s">
        <v>184</v>
      </c>
      <c r="K10" s="134"/>
      <c r="L10" s="135"/>
    </row>
    <row r="11" spans="1:12" ht="14.25" x14ac:dyDescent="0.2">
      <c r="A11" s="11"/>
      <c r="B11" s="11"/>
      <c r="C11" s="48" t="s">
        <v>185</v>
      </c>
      <c r="D11" s="48"/>
      <c r="E11" s="48"/>
      <c r="F11" s="48"/>
      <c r="G11" s="48"/>
      <c r="H11" s="48"/>
      <c r="I11" s="48"/>
      <c r="J11" s="11"/>
      <c r="K11" s="33"/>
      <c r="L11" s="40"/>
    </row>
    <row r="12" spans="1:12" ht="14.25" x14ac:dyDescent="0.2">
      <c r="A12" s="78" t="s">
        <v>216</v>
      </c>
      <c r="B12" s="78"/>
      <c r="C12" s="133"/>
      <c r="D12" s="133"/>
      <c r="E12" s="133"/>
      <c r="F12" s="133"/>
      <c r="G12" s="133"/>
      <c r="H12" s="133"/>
      <c r="I12" s="133"/>
      <c r="J12" s="10" t="s">
        <v>184</v>
      </c>
      <c r="K12" s="134"/>
      <c r="L12" s="135"/>
    </row>
    <row r="13" spans="1:12" ht="14.25" x14ac:dyDescent="0.2">
      <c r="A13" s="11"/>
      <c r="B13" s="11"/>
      <c r="C13" s="48" t="s">
        <v>189</v>
      </c>
      <c r="D13" s="48"/>
      <c r="E13" s="48"/>
      <c r="F13" s="48"/>
      <c r="G13" s="48"/>
      <c r="H13" s="78" t="s">
        <v>217</v>
      </c>
      <c r="I13" s="78"/>
      <c r="J13" s="80"/>
      <c r="K13" s="99"/>
      <c r="L13" s="101"/>
    </row>
    <row r="14" spans="1:12" ht="14.25" x14ac:dyDescent="0.2">
      <c r="A14" s="11"/>
      <c r="B14" s="11"/>
      <c r="C14" s="11"/>
      <c r="D14" s="11"/>
      <c r="E14" s="78" t="s">
        <v>218</v>
      </c>
      <c r="F14" s="78"/>
      <c r="G14" s="78"/>
      <c r="H14" s="78"/>
      <c r="I14" s="132" t="s">
        <v>194</v>
      </c>
      <c r="J14" s="91"/>
      <c r="K14" s="99"/>
      <c r="L14" s="101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17" t="s">
        <v>195</v>
      </c>
      <c r="J15" s="118"/>
      <c r="K15" s="119"/>
      <c r="L15" s="120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1" t="s">
        <v>219</v>
      </c>
      <c r="J16" s="91"/>
      <c r="K16" s="121"/>
      <c r="L16" s="122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23" t="s">
        <v>197</v>
      </c>
      <c r="D19" s="124"/>
      <c r="E19" s="123" t="s">
        <v>198</v>
      </c>
      <c r="F19" s="127"/>
      <c r="G19" s="11"/>
      <c r="H19" s="11"/>
      <c r="I19" s="123" t="s">
        <v>199</v>
      </c>
      <c r="J19" s="124"/>
      <c r="K19" s="124"/>
      <c r="L19" s="127"/>
    </row>
    <row r="20" spans="1:12" ht="14.25" x14ac:dyDescent="0.2">
      <c r="A20" s="11"/>
      <c r="B20" s="11"/>
      <c r="C20" s="125"/>
      <c r="D20" s="126"/>
      <c r="E20" s="125"/>
      <c r="F20" s="128"/>
      <c r="G20" s="11"/>
      <c r="H20" s="11"/>
      <c r="I20" s="129" t="s">
        <v>200</v>
      </c>
      <c r="J20" s="130"/>
      <c r="K20" s="129" t="s">
        <v>201</v>
      </c>
      <c r="L20" s="131"/>
    </row>
    <row r="21" spans="1:12" ht="14.25" x14ac:dyDescent="0.2">
      <c r="A21" s="11"/>
      <c r="B21" s="11"/>
      <c r="C21" s="112"/>
      <c r="D21" s="113"/>
      <c r="E21" s="114"/>
      <c r="F21" s="115"/>
      <c r="G21" s="41"/>
      <c r="H21" s="41"/>
      <c r="I21" s="114"/>
      <c r="J21" s="116"/>
      <c r="K21" s="114"/>
      <c r="L21" s="115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7" t="s">
        <v>220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ht="18" x14ac:dyDescent="0.25">
      <c r="A25" s="77" t="s">
        <v>221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06" t="s">
        <v>222</v>
      </c>
      <c r="B28" s="106" t="s">
        <v>223</v>
      </c>
      <c r="C28" s="108"/>
      <c r="D28" s="108"/>
      <c r="E28" s="108"/>
      <c r="F28" s="106" t="s">
        <v>180</v>
      </c>
      <c r="G28" s="106" t="s">
        <v>224</v>
      </c>
      <c r="H28" s="108"/>
      <c r="I28" s="108"/>
      <c r="J28" s="108"/>
      <c r="K28" s="108"/>
      <c r="L28" s="110"/>
    </row>
    <row r="29" spans="1:12" x14ac:dyDescent="0.2">
      <c r="A29" s="107"/>
      <c r="B29" s="107"/>
      <c r="C29" s="109"/>
      <c r="D29" s="109"/>
      <c r="E29" s="109"/>
      <c r="F29" s="107"/>
      <c r="G29" s="106" t="s">
        <v>225</v>
      </c>
      <c r="H29" s="108"/>
      <c r="I29" s="106" t="s">
        <v>226</v>
      </c>
      <c r="J29" s="108"/>
      <c r="K29" s="106" t="s">
        <v>227</v>
      </c>
      <c r="L29" s="110"/>
    </row>
    <row r="30" spans="1:12" x14ac:dyDescent="0.2">
      <c r="A30" s="107"/>
      <c r="B30" s="107"/>
      <c r="C30" s="109"/>
      <c r="D30" s="109"/>
      <c r="E30" s="109"/>
      <c r="F30" s="107"/>
      <c r="G30" s="107"/>
      <c r="H30" s="109"/>
      <c r="I30" s="107"/>
      <c r="J30" s="109"/>
      <c r="K30" s="107"/>
      <c r="L30" s="111"/>
    </row>
    <row r="31" spans="1:12" x14ac:dyDescent="0.2">
      <c r="A31" s="107"/>
      <c r="B31" s="107"/>
      <c r="C31" s="109"/>
      <c r="D31" s="109"/>
      <c r="E31" s="109"/>
      <c r="F31" s="107"/>
      <c r="G31" s="107"/>
      <c r="H31" s="109"/>
      <c r="I31" s="107"/>
      <c r="J31" s="109"/>
      <c r="K31" s="107"/>
      <c r="L31" s="111"/>
    </row>
    <row r="32" spans="1:12" x14ac:dyDescent="0.2">
      <c r="A32" s="107"/>
      <c r="B32" s="107"/>
      <c r="C32" s="109"/>
      <c r="D32" s="109"/>
      <c r="E32" s="109"/>
      <c r="F32" s="107"/>
      <c r="G32" s="107"/>
      <c r="H32" s="109"/>
      <c r="I32" s="107"/>
      <c r="J32" s="109"/>
      <c r="K32" s="107"/>
      <c r="L32" s="111"/>
    </row>
    <row r="33" spans="1:12" ht="14.25" x14ac:dyDescent="0.2">
      <c r="A33" s="33">
        <v>1</v>
      </c>
      <c r="B33" s="99">
        <v>2</v>
      </c>
      <c r="C33" s="100"/>
      <c r="D33" s="100"/>
      <c r="E33" s="100"/>
      <c r="F33" s="33">
        <v>3</v>
      </c>
      <c r="G33" s="99">
        <v>4</v>
      </c>
      <c r="H33" s="100"/>
      <c r="I33" s="99">
        <v>5</v>
      </c>
      <c r="J33" s="100"/>
      <c r="K33" s="99">
        <v>6</v>
      </c>
      <c r="L33" s="101"/>
    </row>
    <row r="34" spans="1:12" ht="14.25" x14ac:dyDescent="0.2">
      <c r="A34" s="42"/>
      <c r="B34" s="102" t="s">
        <v>228</v>
      </c>
      <c r="C34" s="89"/>
      <c r="D34" s="89"/>
      <c r="E34" s="89"/>
      <c r="F34" s="43"/>
      <c r="G34" s="103"/>
      <c r="H34" s="104"/>
      <c r="I34" s="103"/>
      <c r="J34" s="104"/>
      <c r="K34" s="103"/>
      <c r="L34" s="105"/>
    </row>
    <row r="35" spans="1:12" ht="14.25" x14ac:dyDescent="0.2">
      <c r="A35" s="44"/>
      <c r="B35" s="87" t="s">
        <v>229</v>
      </c>
      <c r="C35" s="88"/>
      <c r="D35" s="88"/>
      <c r="E35" s="88"/>
      <c r="F35" s="88"/>
      <c r="G35" s="88"/>
      <c r="H35" s="88"/>
      <c r="I35" s="88"/>
      <c r="J35" s="88"/>
      <c r="K35" s="89"/>
      <c r="L35" s="90"/>
    </row>
    <row r="36" spans="1:12" ht="14.25" x14ac:dyDescent="0.2">
      <c r="A36" s="91" t="s">
        <v>123</v>
      </c>
      <c r="B36" s="91"/>
      <c r="C36" s="91"/>
      <c r="D36" s="91"/>
      <c r="E36" s="91"/>
      <c r="F36" s="91"/>
      <c r="G36" s="91"/>
      <c r="H36" s="91"/>
      <c r="I36" s="91"/>
      <c r="J36" s="92"/>
      <c r="K36" s="93"/>
      <c r="L36" s="92"/>
    </row>
    <row r="37" spans="1:12" ht="14.25" x14ac:dyDescent="0.2">
      <c r="A37" s="94" t="s">
        <v>230</v>
      </c>
      <c r="B37" s="94"/>
      <c r="C37" s="94"/>
      <c r="D37" s="94"/>
      <c r="E37" s="94"/>
      <c r="F37" s="94"/>
      <c r="G37" s="94"/>
      <c r="H37" s="94"/>
      <c r="I37" s="94"/>
      <c r="J37" s="94"/>
      <c r="K37" s="95"/>
      <c r="L37" s="96"/>
    </row>
    <row r="38" spans="1:12" ht="14.25" x14ac:dyDescent="0.2">
      <c r="A38" s="94" t="s">
        <v>231</v>
      </c>
      <c r="B38" s="94"/>
      <c r="C38" s="94"/>
      <c r="D38" s="94"/>
      <c r="E38" s="94"/>
      <c r="F38" s="94"/>
      <c r="G38" s="94"/>
      <c r="H38" s="94"/>
      <c r="I38" s="94"/>
      <c r="J38" s="94"/>
      <c r="K38" s="97"/>
      <c r="L38" s="98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84" t="s">
        <v>214</v>
      </c>
      <c r="B42" s="84"/>
      <c r="C42" s="85"/>
      <c r="D42" s="85"/>
      <c r="E42" s="85"/>
      <c r="F42" s="11"/>
      <c r="G42" s="85"/>
      <c r="H42" s="85"/>
      <c r="I42" s="11"/>
      <c r="J42" s="85"/>
      <c r="K42" s="85"/>
      <c r="L42" s="85"/>
    </row>
    <row r="43" spans="1:12" ht="14.25" x14ac:dyDescent="0.2">
      <c r="A43" s="11"/>
      <c r="B43" s="11"/>
      <c r="C43" s="86" t="s">
        <v>232</v>
      </c>
      <c r="D43" s="86"/>
      <c r="E43" s="86"/>
      <c r="F43" s="11"/>
      <c r="G43" s="86" t="s">
        <v>233</v>
      </c>
      <c r="H43" s="86"/>
      <c r="I43" s="11"/>
      <c r="J43" s="86" t="s">
        <v>234</v>
      </c>
      <c r="K43" s="86"/>
      <c r="L43" s="86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235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84" t="s">
        <v>215</v>
      </c>
      <c r="B49" s="84"/>
      <c r="C49" s="85"/>
      <c r="D49" s="85"/>
      <c r="E49" s="85"/>
      <c r="F49" s="11"/>
      <c r="G49" s="85"/>
      <c r="H49" s="85"/>
      <c r="I49" s="11"/>
      <c r="J49" s="85"/>
      <c r="K49" s="85"/>
      <c r="L49" s="85"/>
    </row>
    <row r="50" spans="1:12" ht="14.25" x14ac:dyDescent="0.2">
      <c r="A50" s="11"/>
      <c r="B50" s="11"/>
      <c r="C50" s="86" t="s">
        <v>232</v>
      </c>
      <c r="D50" s="86"/>
      <c r="E50" s="86"/>
      <c r="F50" s="11"/>
      <c r="G50" s="86" t="s">
        <v>233</v>
      </c>
      <c r="H50" s="86"/>
      <c r="I50" s="11"/>
      <c r="J50" s="86" t="s">
        <v>234</v>
      </c>
      <c r="K50" s="86"/>
      <c r="L50" s="86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235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2"/>
  <sheetViews>
    <sheetView workbookViewId="0">
      <selection activeCell="A98" sqref="A98:AA98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97</v>
      </c>
      <c r="C12" s="1">
        <v>0</v>
      </c>
      <c r="D12" s="1">
        <f>ROW(A62)</f>
        <v>62</v>
      </c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B62</f>
        <v>97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ТП-515 - Замена Трансформаторов</v>
      </c>
      <c r="G18" s="2" t="str">
        <f t="shared" si="0"/>
        <v>ТП-515 - Замена Трансформаторов</v>
      </c>
      <c r="H18" s="2"/>
      <c r="I18" s="2"/>
      <c r="J18" s="2"/>
      <c r="K18" s="2"/>
      <c r="L18" s="2"/>
      <c r="M18" s="2"/>
      <c r="N18" s="2"/>
      <c r="O18" s="2">
        <f t="shared" ref="O18:AT18" si="1">O62</f>
        <v>626610.09</v>
      </c>
      <c r="P18" s="2">
        <f t="shared" si="1"/>
        <v>537340.18000000005</v>
      </c>
      <c r="Q18" s="2">
        <f t="shared" si="1"/>
        <v>14527.95</v>
      </c>
      <c r="R18" s="2">
        <f t="shared" si="1"/>
        <v>9376.75</v>
      </c>
      <c r="S18" s="2">
        <f t="shared" si="1"/>
        <v>74741.960000000006</v>
      </c>
      <c r="T18" s="2">
        <f t="shared" si="1"/>
        <v>0</v>
      </c>
      <c r="U18" s="2">
        <f t="shared" si="1"/>
        <v>212.53533999999996</v>
      </c>
      <c r="V18" s="2">
        <f t="shared" si="1"/>
        <v>0</v>
      </c>
      <c r="W18" s="2">
        <f t="shared" si="1"/>
        <v>0</v>
      </c>
      <c r="X18" s="2">
        <f t="shared" si="1"/>
        <v>53635</v>
      </c>
      <c r="Y18" s="2">
        <f t="shared" si="1"/>
        <v>30644.19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725610.78</v>
      </c>
      <c r="AS18" s="2">
        <f t="shared" si="1"/>
        <v>0</v>
      </c>
      <c r="AT18" s="2">
        <f t="shared" si="1"/>
        <v>100265.1</v>
      </c>
      <c r="AU18" s="2">
        <f t="shared" ref="AU18:BZ18" si="2">AU62</f>
        <v>625345.68000000005</v>
      </c>
      <c r="AV18" s="2">
        <f t="shared" si="2"/>
        <v>537340.18000000005</v>
      </c>
      <c r="AW18" s="2">
        <f t="shared" si="2"/>
        <v>537340.18000000005</v>
      </c>
      <c r="AX18" s="2">
        <f t="shared" si="2"/>
        <v>0</v>
      </c>
      <c r="AY18" s="2">
        <f t="shared" si="2"/>
        <v>537340.18000000005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CA62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DG62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EM62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FS62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ROW(A33)</f>
        <v>33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B33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Замена силовых трансформаторов</v>
      </c>
      <c r="H22" s="2"/>
      <c r="I22" s="2"/>
      <c r="J22" s="2"/>
      <c r="K22" s="2"/>
      <c r="L22" s="2"/>
      <c r="M22" s="2"/>
      <c r="N22" s="2"/>
      <c r="O22" s="2">
        <f t="shared" ref="O22:AT22" si="8">O33</f>
        <v>626610.09</v>
      </c>
      <c r="P22" s="2">
        <f t="shared" si="8"/>
        <v>537340.18000000005</v>
      </c>
      <c r="Q22" s="2">
        <f t="shared" si="8"/>
        <v>14527.95</v>
      </c>
      <c r="R22" s="2">
        <f t="shared" si="8"/>
        <v>9376.75</v>
      </c>
      <c r="S22" s="2">
        <f t="shared" si="8"/>
        <v>74741.960000000006</v>
      </c>
      <c r="T22" s="2">
        <f t="shared" si="8"/>
        <v>0</v>
      </c>
      <c r="U22" s="2">
        <f t="shared" si="8"/>
        <v>212.53533999999996</v>
      </c>
      <c r="V22" s="2">
        <f t="shared" si="8"/>
        <v>0</v>
      </c>
      <c r="W22" s="2">
        <f t="shared" si="8"/>
        <v>0</v>
      </c>
      <c r="X22" s="2">
        <f t="shared" si="8"/>
        <v>53635</v>
      </c>
      <c r="Y22" s="2">
        <f t="shared" si="8"/>
        <v>30644.19</v>
      </c>
      <c r="Z22" s="2">
        <f t="shared" si="8"/>
        <v>0</v>
      </c>
      <c r="AA22" s="2">
        <f t="shared" si="8"/>
        <v>0</v>
      </c>
      <c r="AB22" s="2">
        <f t="shared" si="8"/>
        <v>626610.09</v>
      </c>
      <c r="AC22" s="2">
        <f t="shared" si="8"/>
        <v>537340.18000000005</v>
      </c>
      <c r="AD22" s="2">
        <f t="shared" si="8"/>
        <v>14527.95</v>
      </c>
      <c r="AE22" s="2">
        <f t="shared" si="8"/>
        <v>9376.75</v>
      </c>
      <c r="AF22" s="2">
        <f t="shared" si="8"/>
        <v>74741.960000000006</v>
      </c>
      <c r="AG22" s="2">
        <f t="shared" si="8"/>
        <v>0</v>
      </c>
      <c r="AH22" s="2">
        <f t="shared" si="8"/>
        <v>212.53533999999996</v>
      </c>
      <c r="AI22" s="2">
        <f t="shared" si="8"/>
        <v>0</v>
      </c>
      <c r="AJ22" s="2">
        <f t="shared" si="8"/>
        <v>0</v>
      </c>
      <c r="AK22" s="2">
        <f t="shared" si="8"/>
        <v>53635</v>
      </c>
      <c r="AL22" s="2">
        <f t="shared" si="8"/>
        <v>30644.19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725610.78</v>
      </c>
      <c r="AS22" s="2">
        <f t="shared" si="8"/>
        <v>0</v>
      </c>
      <c r="AT22" s="2">
        <f t="shared" si="8"/>
        <v>100265.1</v>
      </c>
      <c r="AU22" s="2">
        <f t="shared" ref="AU22:BZ22" si="9">AU33</f>
        <v>625345.68000000005</v>
      </c>
      <c r="AV22" s="2">
        <f t="shared" si="9"/>
        <v>537340.18000000005</v>
      </c>
      <c r="AW22" s="2">
        <f t="shared" si="9"/>
        <v>537340.18000000005</v>
      </c>
      <c r="AX22" s="2">
        <f t="shared" si="9"/>
        <v>0</v>
      </c>
      <c r="AY22" s="2">
        <f t="shared" si="9"/>
        <v>537340.18000000005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CA33</f>
        <v>725610.78</v>
      </c>
      <c r="CB22" s="2">
        <f t="shared" si="10"/>
        <v>0</v>
      </c>
      <c r="CC22" s="2">
        <f t="shared" si="10"/>
        <v>100265.1</v>
      </c>
      <c r="CD22" s="2">
        <f t="shared" si="10"/>
        <v>625345.68000000005</v>
      </c>
      <c r="CE22" s="2">
        <f t="shared" si="10"/>
        <v>537340.18000000005</v>
      </c>
      <c r="CF22" s="2">
        <f t="shared" si="10"/>
        <v>537340.18000000005</v>
      </c>
      <c r="CG22" s="2">
        <f t="shared" si="10"/>
        <v>0</v>
      </c>
      <c r="CH22" s="2">
        <f t="shared" si="10"/>
        <v>537340.18000000005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E24" t="s">
        <v>21</v>
      </c>
      <c r="F24" t="s">
        <v>22</v>
      </c>
      <c r="G24" t="s">
        <v>23</v>
      </c>
      <c r="H24" t="s">
        <v>24</v>
      </c>
      <c r="I24">
        <v>2</v>
      </c>
      <c r="J24">
        <v>0</v>
      </c>
      <c r="O24">
        <f t="shared" ref="O24:O31" si="14">ROUND(CP24,2)</f>
        <v>33443.75</v>
      </c>
      <c r="P24">
        <f t="shared" ref="P24:P31" si="15">ROUND((ROUND((AC24*AW24*I24),2)*BC24),2)</f>
        <v>2940.18</v>
      </c>
      <c r="Q24">
        <f>(ROUND((ROUND((((ET24*1.15))*AV24*I24),2)*BB24),2)+ROUND((ROUND(((AE24-((EU24*1.15)))*AV24*I24),2)*BS24),2))</f>
        <v>9685.2999999999993</v>
      </c>
      <c r="R24">
        <f t="shared" ref="R24:R31" si="16">ROUND((ROUND((AE24*AV24*I24),2)*BS24),2)</f>
        <v>6251.17</v>
      </c>
      <c r="S24">
        <f t="shared" ref="S24:S31" si="17">ROUND((ROUND((AF24*AV24*I24),2)*BA24),2)</f>
        <v>20818.27</v>
      </c>
      <c r="T24">
        <f t="shared" ref="T24:T31" si="18">ROUND(CU24*I24,2)</f>
        <v>0</v>
      </c>
      <c r="U24">
        <f t="shared" ref="U24:U31" si="19">CV24*I24</f>
        <v>66.463559999999987</v>
      </c>
      <c r="V24">
        <f t="shared" ref="V24:V31" si="20">CW24*I24</f>
        <v>0</v>
      </c>
      <c r="W24">
        <f t="shared" ref="W24:W31" si="21">ROUND(CX24*I24,2)</f>
        <v>0</v>
      </c>
      <c r="X24">
        <f t="shared" ref="X24:Y31" si="22">ROUND(CY24,2)</f>
        <v>16030.07</v>
      </c>
      <c r="Y24">
        <f t="shared" si="22"/>
        <v>8535.49</v>
      </c>
      <c r="AA24">
        <v>23436802</v>
      </c>
      <c r="AB24">
        <f t="shared" ref="AB24:AB31" si="23">ROUND((AC24+AD24+AF24),6)</f>
        <v>1196.405</v>
      </c>
      <c r="AC24">
        <f>ROUND((ES24),6)</f>
        <v>277.89999999999998</v>
      </c>
      <c r="AD24">
        <f>ROUND(((((ET24*1.15))-((EU24*1.15)))+AE24),6)</f>
        <v>517.94849999999997</v>
      </c>
      <c r="AE24">
        <f>ROUND(((EU24*1.15)),6)</f>
        <v>120.27849999999999</v>
      </c>
      <c r="AF24">
        <f>ROUND(((EV24*1.15)),6)</f>
        <v>400.55650000000003</v>
      </c>
      <c r="AG24">
        <f t="shared" ref="AG24:AG31" si="24">ROUND((AP24),6)</f>
        <v>0</v>
      </c>
      <c r="AH24">
        <f>((EW24*1.15))</f>
        <v>31.74</v>
      </c>
      <c r="AI24">
        <f>((EX24*1.15))</f>
        <v>0</v>
      </c>
      <c r="AJ24">
        <f t="shared" ref="AJ24:AJ31" si="25">(AS24)</f>
        <v>0</v>
      </c>
      <c r="AK24">
        <v>1076.5999999999999</v>
      </c>
      <c r="AL24">
        <v>277.89999999999998</v>
      </c>
      <c r="AM24">
        <v>450.39</v>
      </c>
      <c r="AN24">
        <v>104.59</v>
      </c>
      <c r="AO24">
        <v>348.31</v>
      </c>
      <c r="AP24">
        <v>0</v>
      </c>
      <c r="AQ24">
        <v>27.6</v>
      </c>
      <c r="AR24">
        <v>0</v>
      </c>
      <c r="AS24">
        <v>0</v>
      </c>
      <c r="AT24">
        <v>77</v>
      </c>
      <c r="AU24">
        <v>41</v>
      </c>
      <c r="AV24">
        <v>1.0469999999999999</v>
      </c>
      <c r="AW24">
        <v>1</v>
      </c>
      <c r="AZ24">
        <v>1</v>
      </c>
      <c r="BA24">
        <v>24.82</v>
      </c>
      <c r="BB24">
        <v>8.93</v>
      </c>
      <c r="BC24">
        <v>5.29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2</v>
      </c>
      <c r="BJ24" t="s">
        <v>25</v>
      </c>
      <c r="BM24">
        <v>317</v>
      </c>
      <c r="BN24">
        <v>0</v>
      </c>
      <c r="BO24" t="s">
        <v>22</v>
      </c>
      <c r="BP24">
        <v>1</v>
      </c>
      <c r="BQ24">
        <v>40</v>
      </c>
      <c r="BR24">
        <v>0</v>
      </c>
      <c r="BS24">
        <v>24.82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77</v>
      </c>
      <c r="CA24">
        <v>41</v>
      </c>
      <c r="CE24">
        <v>30</v>
      </c>
      <c r="CF24">
        <v>0</v>
      </c>
      <c r="CG24">
        <v>0</v>
      </c>
      <c r="CM24">
        <v>0</v>
      </c>
      <c r="CN24" t="s">
        <v>132</v>
      </c>
      <c r="CO24">
        <v>0</v>
      </c>
      <c r="CP24">
        <f t="shared" ref="CP24:CP31" si="26">(P24+Q24+S24)</f>
        <v>33443.75</v>
      </c>
      <c r="CQ24">
        <f t="shared" ref="CQ24:CQ31" si="27">ROUND((ROUND((AC24*AW24*1),2)*BC24),2)</f>
        <v>1470.09</v>
      </c>
      <c r="CR24">
        <f>(ROUND((ROUND((((ET24*1.15))*AV24*1),2)*BB24),2)+ROUND((ROUND(((AE24-((EU24*1.15)))*AV24*1),2)*BS24),2))</f>
        <v>4842.6499999999996</v>
      </c>
      <c r="CS24">
        <f t="shared" ref="CS24:CS31" si="28">ROUND((ROUND((AE24*AV24*1),2)*BS24),2)</f>
        <v>3125.58</v>
      </c>
      <c r="CT24">
        <f t="shared" ref="CT24:CT31" si="29">ROUND((ROUND((AF24*AV24*1),2)*BA24),2)</f>
        <v>10409.01</v>
      </c>
      <c r="CU24">
        <f t="shared" ref="CU24:CU31" si="30">AG24</f>
        <v>0</v>
      </c>
      <c r="CV24">
        <f t="shared" ref="CV24:CV31" si="31">(AH24*AV24)</f>
        <v>33.231779999999993</v>
      </c>
      <c r="CW24">
        <f t="shared" ref="CW24:CX31" si="32">AI24</f>
        <v>0</v>
      </c>
      <c r="CX24">
        <f t="shared" si="32"/>
        <v>0</v>
      </c>
      <c r="CY24">
        <f t="shared" ref="CY24:CY31" si="33">S24*(BZ24/100)</f>
        <v>16030.0679</v>
      </c>
      <c r="CZ24">
        <f t="shared" ref="CZ24:CZ31" si="34">S24*(CA24/100)</f>
        <v>8535.4907000000003</v>
      </c>
      <c r="DC24" t="s">
        <v>3</v>
      </c>
      <c r="DD24" t="s">
        <v>3</v>
      </c>
      <c r="DE24" t="s">
        <v>26</v>
      </c>
      <c r="DF24" t="s">
        <v>26</v>
      </c>
      <c r="DG24" t="s">
        <v>26</v>
      </c>
      <c r="DH24" t="s">
        <v>3</v>
      </c>
      <c r="DI24" t="s">
        <v>26</v>
      </c>
      <c r="DJ24" t="s">
        <v>26</v>
      </c>
      <c r="DK24" t="s">
        <v>3</v>
      </c>
      <c r="DL24" t="s">
        <v>3</v>
      </c>
      <c r="DM24" t="s">
        <v>3</v>
      </c>
      <c r="DN24">
        <v>114</v>
      </c>
      <c r="DO24">
        <v>67</v>
      </c>
      <c r="DP24">
        <v>1.0469999999999999</v>
      </c>
      <c r="DQ24">
        <v>1</v>
      </c>
      <c r="DU24">
        <v>1010</v>
      </c>
      <c r="DV24" t="s">
        <v>24</v>
      </c>
      <c r="DW24" t="s">
        <v>24</v>
      </c>
      <c r="DX24">
        <v>1</v>
      </c>
      <c r="EE24">
        <v>22827158</v>
      </c>
      <c r="EF24">
        <v>40</v>
      </c>
      <c r="EG24" t="s">
        <v>27</v>
      </c>
      <c r="EH24">
        <v>0</v>
      </c>
      <c r="EI24" t="s">
        <v>3</v>
      </c>
      <c r="EJ24">
        <v>2</v>
      </c>
      <c r="EK24">
        <v>317</v>
      </c>
      <c r="EL24" t="s">
        <v>28</v>
      </c>
      <c r="EM24" t="s">
        <v>29</v>
      </c>
      <c r="EO24" t="s">
        <v>30</v>
      </c>
      <c r="EQ24">
        <v>0</v>
      </c>
      <c r="ER24">
        <v>1076.5999999999999</v>
      </c>
      <c r="ES24">
        <v>277.89999999999998</v>
      </c>
      <c r="ET24">
        <v>450.39</v>
      </c>
      <c r="EU24">
        <v>104.59</v>
      </c>
      <c r="EV24">
        <v>348.31</v>
      </c>
      <c r="EW24">
        <v>27.6</v>
      </c>
      <c r="EX24">
        <v>0</v>
      </c>
      <c r="EY24">
        <v>0</v>
      </c>
      <c r="FQ24">
        <v>0</v>
      </c>
      <c r="FR24">
        <f t="shared" ref="FR24:FR31" si="35">ROUND(IF(AND(BH24=3,BI24=3),P24,0),2)</f>
        <v>0</v>
      </c>
      <c r="FS24">
        <v>0</v>
      </c>
      <c r="FX24">
        <v>114</v>
      </c>
      <c r="FY24">
        <v>67</v>
      </c>
      <c r="GA24" t="s">
        <v>3</v>
      </c>
      <c r="GD24">
        <v>0</v>
      </c>
      <c r="GF24">
        <v>266943809</v>
      </c>
      <c r="GG24">
        <v>2</v>
      </c>
      <c r="GH24">
        <v>1</v>
      </c>
      <c r="GI24">
        <v>2</v>
      </c>
      <c r="GJ24">
        <v>0</v>
      </c>
      <c r="GK24">
        <f>ROUND(R24*(R12)/100,2)</f>
        <v>9814.34</v>
      </c>
      <c r="GL24">
        <f t="shared" ref="GL24:GL31" si="36">ROUND(IF(AND(BH24=3,BI24=3,FS24&lt;&gt;0),P24,0),2)</f>
        <v>0</v>
      </c>
      <c r="GM24">
        <f t="shared" ref="GM24:GM30" si="37">ROUND(O24+X24+Y24+GK24,2)+GX24</f>
        <v>67823.649999999994</v>
      </c>
      <c r="GN24">
        <f t="shared" ref="GN24:GN30" si="38">IF(OR(BI24=0,BI24=1),ROUND(O24+X24+Y24+GK24,2),0)</f>
        <v>0</v>
      </c>
      <c r="GO24">
        <f t="shared" ref="GO24:GO30" si="39">IF(BI24=2,ROUND(O24+X24+Y24+GK24,2),0)</f>
        <v>67823.649999999994</v>
      </c>
      <c r="GP24">
        <f t="shared" ref="GP24:GP30" si="40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31" si="41">ROUND((GT24),6)</f>
        <v>0</v>
      </c>
      <c r="GW24">
        <v>1</v>
      </c>
      <c r="GX24">
        <f t="shared" ref="GX24:GX31" si="42">ROUND(HC24*I24,2)</f>
        <v>0</v>
      </c>
      <c r="HA24">
        <v>0</v>
      </c>
      <c r="HB24">
        <v>0</v>
      </c>
      <c r="HC24">
        <f t="shared" ref="HC24:HC31" si="43">GV24*GW24</f>
        <v>0</v>
      </c>
      <c r="IK24">
        <v>0</v>
      </c>
    </row>
    <row r="25" spans="1:245" x14ac:dyDescent="0.2">
      <c r="A25">
        <v>17</v>
      </c>
      <c r="B25">
        <v>1</v>
      </c>
      <c r="E25" t="s">
        <v>31</v>
      </c>
      <c r="F25" t="s">
        <v>22</v>
      </c>
      <c r="G25" t="s">
        <v>32</v>
      </c>
      <c r="H25" t="s">
        <v>24</v>
      </c>
      <c r="I25">
        <v>2</v>
      </c>
      <c r="J25">
        <v>0</v>
      </c>
      <c r="O25">
        <f t="shared" si="14"/>
        <v>15251.66</v>
      </c>
      <c r="P25">
        <f t="shared" si="15"/>
        <v>0</v>
      </c>
      <c r="Q25">
        <f>(ROUND((ROUND(((((ET25*0.5)*1.15))*AV25*I25),2)*BB25),2)+ROUND((ROUND(((AE25-(((EU25*0.5)*1.15)))*AV25*I25),2)*BS25),2))</f>
        <v>4842.6499999999996</v>
      </c>
      <c r="R25">
        <f t="shared" si="16"/>
        <v>3125.58</v>
      </c>
      <c r="S25">
        <f t="shared" si="17"/>
        <v>10409.01</v>
      </c>
      <c r="T25">
        <f t="shared" si="18"/>
        <v>0</v>
      </c>
      <c r="U25">
        <f t="shared" si="19"/>
        <v>33.231779999999993</v>
      </c>
      <c r="V25">
        <f t="shared" si="20"/>
        <v>0</v>
      </c>
      <c r="W25">
        <f t="shared" si="21"/>
        <v>0</v>
      </c>
      <c r="X25">
        <f t="shared" si="22"/>
        <v>8014.94</v>
      </c>
      <c r="Y25">
        <f t="shared" si="22"/>
        <v>4267.6899999999996</v>
      </c>
      <c r="AA25">
        <v>23436802</v>
      </c>
      <c r="AB25">
        <f t="shared" si="23"/>
        <v>459.2525</v>
      </c>
      <c r="AC25">
        <f>ROUND(((ES25*0)),6)</f>
        <v>0</v>
      </c>
      <c r="AD25">
        <f>ROUND((((((ET25*0.5)*1.15))-(((EU25*0.5)*1.15)))+AE25),6)</f>
        <v>258.97424999999998</v>
      </c>
      <c r="AE25">
        <f>ROUND((((EU25*0.5)*1.15)),6)</f>
        <v>60.139249999999997</v>
      </c>
      <c r="AF25">
        <f>ROUND((((EV25*0.5)*1.15)),6)</f>
        <v>200.27825000000001</v>
      </c>
      <c r="AG25">
        <f t="shared" si="24"/>
        <v>0</v>
      </c>
      <c r="AH25">
        <f>(((EW25*0.5)*1.15))</f>
        <v>15.87</v>
      </c>
      <c r="AI25">
        <f>(((EX25*0.5)*1.15))</f>
        <v>0</v>
      </c>
      <c r="AJ25">
        <f t="shared" si="25"/>
        <v>0</v>
      </c>
      <c r="AK25">
        <v>1076.5999999999999</v>
      </c>
      <c r="AL25">
        <v>277.89999999999998</v>
      </c>
      <c r="AM25">
        <v>450.39</v>
      </c>
      <c r="AN25">
        <v>104.59</v>
      </c>
      <c r="AO25">
        <v>348.31</v>
      </c>
      <c r="AP25">
        <v>0</v>
      </c>
      <c r="AQ25">
        <v>27.6</v>
      </c>
      <c r="AR25">
        <v>0</v>
      </c>
      <c r="AS25">
        <v>0</v>
      </c>
      <c r="AT25">
        <v>77</v>
      </c>
      <c r="AU25">
        <v>41</v>
      </c>
      <c r="AV25">
        <v>1.0469999999999999</v>
      </c>
      <c r="AW25">
        <v>1</v>
      </c>
      <c r="AZ25">
        <v>1</v>
      </c>
      <c r="BA25">
        <v>24.82</v>
      </c>
      <c r="BB25">
        <v>8.93</v>
      </c>
      <c r="BC25">
        <v>5.29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25</v>
      </c>
      <c r="BM25">
        <v>317</v>
      </c>
      <c r="BN25">
        <v>0</v>
      </c>
      <c r="BO25" t="s">
        <v>22</v>
      </c>
      <c r="BP25">
        <v>1</v>
      </c>
      <c r="BQ25">
        <v>40</v>
      </c>
      <c r="BR25">
        <v>0</v>
      </c>
      <c r="BS25">
        <v>24.82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77</v>
      </c>
      <c r="CA25">
        <v>41</v>
      </c>
      <c r="CE25">
        <v>30</v>
      </c>
      <c r="CF25">
        <v>0</v>
      </c>
      <c r="CG25">
        <v>0</v>
      </c>
      <c r="CM25">
        <v>0</v>
      </c>
      <c r="CN25" t="s">
        <v>133</v>
      </c>
      <c r="CO25">
        <v>0</v>
      </c>
      <c r="CP25">
        <f t="shared" si="26"/>
        <v>15251.66</v>
      </c>
      <c r="CQ25">
        <f t="shared" si="27"/>
        <v>0</v>
      </c>
      <c r="CR25">
        <f>(ROUND((ROUND(((((ET25*0.5)*1.15))*AV25*1),2)*BB25),2)+ROUND((ROUND(((AE25-(((EU25*0.5)*1.15)))*AV25*1),2)*BS25),2))</f>
        <v>2421.37</v>
      </c>
      <c r="CS25">
        <f t="shared" si="28"/>
        <v>1562.92</v>
      </c>
      <c r="CT25">
        <f t="shared" si="29"/>
        <v>5204.51</v>
      </c>
      <c r="CU25">
        <f t="shared" si="30"/>
        <v>0</v>
      </c>
      <c r="CV25">
        <f t="shared" si="31"/>
        <v>16.615889999999997</v>
      </c>
      <c r="CW25">
        <f t="shared" si="32"/>
        <v>0</v>
      </c>
      <c r="CX25">
        <f t="shared" si="32"/>
        <v>0</v>
      </c>
      <c r="CY25">
        <f t="shared" si="33"/>
        <v>8014.9377000000004</v>
      </c>
      <c r="CZ25">
        <f t="shared" si="34"/>
        <v>4267.6940999999997</v>
      </c>
      <c r="DC25" t="s">
        <v>3</v>
      </c>
      <c r="DD25" t="s">
        <v>33</v>
      </c>
      <c r="DE25" t="s">
        <v>34</v>
      </c>
      <c r="DF25" t="s">
        <v>34</v>
      </c>
      <c r="DG25" t="s">
        <v>34</v>
      </c>
      <c r="DH25" t="s">
        <v>3</v>
      </c>
      <c r="DI25" t="s">
        <v>34</v>
      </c>
      <c r="DJ25" t="s">
        <v>34</v>
      </c>
      <c r="DK25" t="s">
        <v>3</v>
      </c>
      <c r="DL25" t="s">
        <v>3</v>
      </c>
      <c r="DM25" t="s">
        <v>3</v>
      </c>
      <c r="DN25">
        <v>114</v>
      </c>
      <c r="DO25">
        <v>67</v>
      </c>
      <c r="DP25">
        <v>1.0469999999999999</v>
      </c>
      <c r="DQ25">
        <v>1</v>
      </c>
      <c r="DU25">
        <v>1010</v>
      </c>
      <c r="DV25" t="s">
        <v>24</v>
      </c>
      <c r="DW25" t="s">
        <v>24</v>
      </c>
      <c r="DX25">
        <v>1</v>
      </c>
      <c r="EE25">
        <v>22827158</v>
      </c>
      <c r="EF25">
        <v>40</v>
      </c>
      <c r="EG25" t="s">
        <v>27</v>
      </c>
      <c r="EH25">
        <v>0</v>
      </c>
      <c r="EI25" t="s">
        <v>3</v>
      </c>
      <c r="EJ25">
        <v>2</v>
      </c>
      <c r="EK25">
        <v>317</v>
      </c>
      <c r="EL25" t="s">
        <v>28</v>
      </c>
      <c r="EM25" t="s">
        <v>29</v>
      </c>
      <c r="EO25" t="s">
        <v>35</v>
      </c>
      <c r="EQ25">
        <v>0</v>
      </c>
      <c r="ER25">
        <v>1076.5999999999999</v>
      </c>
      <c r="ES25">
        <v>277.89999999999998</v>
      </c>
      <c r="ET25">
        <v>450.39</v>
      </c>
      <c r="EU25">
        <v>104.59</v>
      </c>
      <c r="EV25">
        <v>348.31</v>
      </c>
      <c r="EW25">
        <v>27.6</v>
      </c>
      <c r="EX25">
        <v>0</v>
      </c>
      <c r="EY25">
        <v>0</v>
      </c>
      <c r="FQ25">
        <v>0</v>
      </c>
      <c r="FR25">
        <f t="shared" si="35"/>
        <v>0</v>
      </c>
      <c r="FS25">
        <v>0</v>
      </c>
      <c r="FX25">
        <v>114</v>
      </c>
      <c r="FY25">
        <v>67</v>
      </c>
      <c r="GA25" t="s">
        <v>3</v>
      </c>
      <c r="GD25">
        <v>0</v>
      </c>
      <c r="GF25">
        <v>-1713262191</v>
      </c>
      <c r="GG25">
        <v>2</v>
      </c>
      <c r="GH25">
        <v>1</v>
      </c>
      <c r="GI25">
        <v>2</v>
      </c>
      <c r="GJ25">
        <v>0</v>
      </c>
      <c r="GK25">
        <f>ROUND(R25*(R12)/100,2)</f>
        <v>4907.16</v>
      </c>
      <c r="GL25">
        <f t="shared" si="36"/>
        <v>0</v>
      </c>
      <c r="GM25">
        <f t="shared" si="37"/>
        <v>32441.45</v>
      </c>
      <c r="GN25">
        <f t="shared" si="38"/>
        <v>0</v>
      </c>
      <c r="GO25">
        <f t="shared" si="39"/>
        <v>32441.45</v>
      </c>
      <c r="GP25">
        <f t="shared" si="40"/>
        <v>0</v>
      </c>
      <c r="GR25">
        <v>0</v>
      </c>
      <c r="GS25">
        <v>3</v>
      </c>
      <c r="GT25">
        <v>0</v>
      </c>
      <c r="GU25" t="s">
        <v>3</v>
      </c>
      <c r="GV25">
        <f t="shared" si="41"/>
        <v>0</v>
      </c>
      <c r="GW25">
        <v>1</v>
      </c>
      <c r="GX25">
        <f t="shared" si="42"/>
        <v>0</v>
      </c>
      <c r="HA25">
        <v>0</v>
      </c>
      <c r="HB25">
        <v>0</v>
      </c>
      <c r="HC25">
        <f t="shared" si="43"/>
        <v>0</v>
      </c>
      <c r="IK25">
        <v>0</v>
      </c>
    </row>
    <row r="26" spans="1:245" x14ac:dyDescent="0.2">
      <c r="A26">
        <v>17</v>
      </c>
      <c r="B26">
        <v>1</v>
      </c>
      <c r="E26" t="s">
        <v>36</v>
      </c>
      <c r="F26" t="s">
        <v>37</v>
      </c>
      <c r="G26" t="s">
        <v>38</v>
      </c>
      <c r="H26" t="s">
        <v>24</v>
      </c>
      <c r="I26">
        <v>2</v>
      </c>
      <c r="J26">
        <v>0</v>
      </c>
      <c r="O26">
        <f t="shared" si="14"/>
        <v>11300.3</v>
      </c>
      <c r="P26">
        <f t="shared" si="15"/>
        <v>0</v>
      </c>
      <c r="Q26">
        <f t="shared" ref="Q26:Q31" si="44">(ROUND((ROUND(((ET26)*AV26*I26),2)*BB26),2)+ROUND((ROUND(((AE26-(EU26))*AV26*I26),2)*BS26),2))</f>
        <v>0</v>
      </c>
      <c r="R26">
        <f t="shared" si="16"/>
        <v>0</v>
      </c>
      <c r="S26">
        <f t="shared" si="17"/>
        <v>11300.3</v>
      </c>
      <c r="T26">
        <f t="shared" si="18"/>
        <v>0</v>
      </c>
      <c r="U26">
        <f t="shared" si="19"/>
        <v>28.6</v>
      </c>
      <c r="V26">
        <f t="shared" si="20"/>
        <v>0</v>
      </c>
      <c r="W26">
        <f t="shared" si="21"/>
        <v>0</v>
      </c>
      <c r="X26">
        <f t="shared" si="22"/>
        <v>7684.2</v>
      </c>
      <c r="Y26">
        <f t="shared" si="22"/>
        <v>4633.12</v>
      </c>
      <c r="AA26">
        <v>23436802</v>
      </c>
      <c r="AB26">
        <f t="shared" si="23"/>
        <v>227.643</v>
      </c>
      <c r="AC26">
        <f t="shared" ref="AC26:AC31" si="45">ROUND((ES26),6)</f>
        <v>0</v>
      </c>
      <c r="AD26">
        <f t="shared" ref="AD26:AD31" si="46">ROUND((((ET26)-(EU26))+AE26),6)</f>
        <v>0</v>
      </c>
      <c r="AE26">
        <f t="shared" ref="AE26:AE31" si="47">ROUND((EU26),6)</f>
        <v>0</v>
      </c>
      <c r="AF26">
        <f>ROUND(((EV26*1.3)),6)</f>
        <v>227.643</v>
      </c>
      <c r="AG26">
        <f t="shared" si="24"/>
        <v>0</v>
      </c>
      <c r="AH26">
        <f>((EW26*1.3))</f>
        <v>14.3</v>
      </c>
      <c r="AI26">
        <f t="shared" ref="AI26:AI31" si="48">(EX26)</f>
        <v>0</v>
      </c>
      <c r="AJ26">
        <f t="shared" si="25"/>
        <v>0</v>
      </c>
      <c r="AK26">
        <v>175.11</v>
      </c>
      <c r="AL26">
        <v>0</v>
      </c>
      <c r="AM26">
        <v>0</v>
      </c>
      <c r="AN26">
        <v>0</v>
      </c>
      <c r="AO26">
        <v>175.11</v>
      </c>
      <c r="AP26">
        <v>0</v>
      </c>
      <c r="AQ26">
        <v>11</v>
      </c>
      <c r="AR26">
        <v>0</v>
      </c>
      <c r="AS26">
        <v>0</v>
      </c>
      <c r="AT26">
        <v>68</v>
      </c>
      <c r="AU26">
        <v>41</v>
      </c>
      <c r="AV26">
        <v>1</v>
      </c>
      <c r="AW26">
        <v>1</v>
      </c>
      <c r="AZ26">
        <v>1</v>
      </c>
      <c r="BA26">
        <v>24.82</v>
      </c>
      <c r="BB26">
        <v>1</v>
      </c>
      <c r="BC26">
        <v>1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4</v>
      </c>
      <c r="BJ26" t="s">
        <v>39</v>
      </c>
      <c r="BM26">
        <v>381</v>
      </c>
      <c r="BN26">
        <v>0</v>
      </c>
      <c r="BO26" t="s">
        <v>3</v>
      </c>
      <c r="BP26">
        <v>0</v>
      </c>
      <c r="BQ26">
        <v>50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68</v>
      </c>
      <c r="CA26">
        <v>41</v>
      </c>
      <c r="CE26">
        <v>30</v>
      </c>
      <c r="CF26">
        <v>0</v>
      </c>
      <c r="CG26">
        <v>0</v>
      </c>
      <c r="CM26">
        <v>0</v>
      </c>
      <c r="CN26" t="s">
        <v>40</v>
      </c>
      <c r="CO26">
        <v>0</v>
      </c>
      <c r="CP26">
        <f t="shared" si="26"/>
        <v>11300.3</v>
      </c>
      <c r="CQ26">
        <f t="shared" si="27"/>
        <v>0</v>
      </c>
      <c r="CR26">
        <f t="shared" ref="CR26:CR31" si="49">(ROUND((ROUND(((ET26)*AV26*1),2)*BB26),2)+ROUND((ROUND(((AE26-(EU26))*AV26*1),2)*BS26),2))</f>
        <v>0</v>
      </c>
      <c r="CS26">
        <f t="shared" si="28"/>
        <v>0</v>
      </c>
      <c r="CT26">
        <f t="shared" si="29"/>
        <v>5650.02</v>
      </c>
      <c r="CU26">
        <f t="shared" si="30"/>
        <v>0</v>
      </c>
      <c r="CV26">
        <f t="shared" si="31"/>
        <v>14.3</v>
      </c>
      <c r="CW26">
        <f t="shared" si="32"/>
        <v>0</v>
      </c>
      <c r="CX26">
        <f t="shared" si="32"/>
        <v>0</v>
      </c>
      <c r="CY26">
        <f t="shared" si="33"/>
        <v>7684.2039999999997</v>
      </c>
      <c r="CZ26">
        <f t="shared" si="34"/>
        <v>4633.1229999999996</v>
      </c>
      <c r="DC26" t="s">
        <v>3</v>
      </c>
      <c r="DD26" t="s">
        <v>3</v>
      </c>
      <c r="DE26" t="s">
        <v>3</v>
      </c>
      <c r="DF26" t="s">
        <v>3</v>
      </c>
      <c r="DG26" t="s">
        <v>41</v>
      </c>
      <c r="DH26" t="s">
        <v>3</v>
      </c>
      <c r="DI26" t="s">
        <v>41</v>
      </c>
      <c r="DJ26" t="s">
        <v>3</v>
      </c>
      <c r="DK26" t="s">
        <v>3</v>
      </c>
      <c r="DL26" t="s">
        <v>3</v>
      </c>
      <c r="DM26" t="s">
        <v>3</v>
      </c>
      <c r="DN26">
        <v>75</v>
      </c>
      <c r="DO26">
        <v>70</v>
      </c>
      <c r="DP26">
        <v>1</v>
      </c>
      <c r="DQ26">
        <v>1</v>
      </c>
      <c r="DU26">
        <v>1010</v>
      </c>
      <c r="DV26" t="s">
        <v>24</v>
      </c>
      <c r="DW26" t="s">
        <v>24</v>
      </c>
      <c r="DX26">
        <v>1</v>
      </c>
      <c r="EE26">
        <v>22827222</v>
      </c>
      <c r="EF26">
        <v>50</v>
      </c>
      <c r="EG26" t="s">
        <v>42</v>
      </c>
      <c r="EH26">
        <v>0</v>
      </c>
      <c r="EI26" t="s">
        <v>3</v>
      </c>
      <c r="EJ26">
        <v>4</v>
      </c>
      <c r="EK26">
        <v>381</v>
      </c>
      <c r="EL26" t="s">
        <v>43</v>
      </c>
      <c r="EM26" t="s">
        <v>44</v>
      </c>
      <c r="EO26" t="s">
        <v>45</v>
      </c>
      <c r="EQ26">
        <v>0</v>
      </c>
      <c r="ER26">
        <v>175.11</v>
      </c>
      <c r="ES26">
        <v>0</v>
      </c>
      <c r="ET26">
        <v>0</v>
      </c>
      <c r="EU26">
        <v>0</v>
      </c>
      <c r="EV26">
        <v>175.11</v>
      </c>
      <c r="EW26">
        <v>11</v>
      </c>
      <c r="EX26">
        <v>0</v>
      </c>
      <c r="EY26">
        <v>0</v>
      </c>
      <c r="FQ26">
        <v>0</v>
      </c>
      <c r="FR26">
        <f t="shared" si="35"/>
        <v>0</v>
      </c>
      <c r="FS26">
        <v>0</v>
      </c>
      <c r="FX26">
        <v>75</v>
      </c>
      <c r="FY26">
        <v>70</v>
      </c>
      <c r="GA26" t="s">
        <v>3</v>
      </c>
      <c r="GD26">
        <v>0</v>
      </c>
      <c r="GF26">
        <v>593234824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6"/>
        <v>0</v>
      </c>
      <c r="GM26">
        <f t="shared" si="37"/>
        <v>23617.62</v>
      </c>
      <c r="GN26">
        <f t="shared" si="38"/>
        <v>0</v>
      </c>
      <c r="GO26">
        <f t="shared" si="39"/>
        <v>0</v>
      </c>
      <c r="GP26">
        <f t="shared" si="40"/>
        <v>23617.62</v>
      </c>
      <c r="GR26">
        <v>0</v>
      </c>
      <c r="GS26">
        <v>3</v>
      </c>
      <c r="GT26">
        <v>0</v>
      </c>
      <c r="GU26" t="s">
        <v>3</v>
      </c>
      <c r="GV26">
        <f t="shared" si="41"/>
        <v>0</v>
      </c>
      <c r="GW26">
        <v>1</v>
      </c>
      <c r="GX26">
        <f t="shared" si="42"/>
        <v>0</v>
      </c>
      <c r="HA26">
        <v>0</v>
      </c>
      <c r="HB26">
        <v>0</v>
      </c>
      <c r="HC26">
        <f t="shared" si="43"/>
        <v>0</v>
      </c>
      <c r="IK26">
        <v>0</v>
      </c>
    </row>
    <row r="27" spans="1:245" x14ac:dyDescent="0.2">
      <c r="A27">
        <v>17</v>
      </c>
      <c r="B27">
        <v>1</v>
      </c>
      <c r="E27" t="s">
        <v>46</v>
      </c>
      <c r="F27" t="s">
        <v>47</v>
      </c>
      <c r="G27" t="s">
        <v>48</v>
      </c>
      <c r="H27" t="s">
        <v>49</v>
      </c>
      <c r="I27">
        <v>2</v>
      </c>
      <c r="J27">
        <v>0</v>
      </c>
      <c r="O27">
        <f t="shared" si="14"/>
        <v>918.84</v>
      </c>
      <c r="P27">
        <f t="shared" si="15"/>
        <v>0</v>
      </c>
      <c r="Q27">
        <f t="shared" si="44"/>
        <v>0</v>
      </c>
      <c r="R27">
        <f t="shared" si="16"/>
        <v>0</v>
      </c>
      <c r="S27">
        <f t="shared" si="17"/>
        <v>918.84</v>
      </c>
      <c r="T27">
        <f t="shared" si="18"/>
        <v>0</v>
      </c>
      <c r="U27">
        <f t="shared" si="19"/>
        <v>2.3400000000000003</v>
      </c>
      <c r="V27">
        <f t="shared" si="20"/>
        <v>0</v>
      </c>
      <c r="W27">
        <f t="shared" si="21"/>
        <v>0</v>
      </c>
      <c r="X27">
        <f t="shared" si="22"/>
        <v>624.80999999999995</v>
      </c>
      <c r="Y27">
        <f t="shared" si="22"/>
        <v>376.72</v>
      </c>
      <c r="AA27">
        <v>23436802</v>
      </c>
      <c r="AB27">
        <f t="shared" si="23"/>
        <v>18.512</v>
      </c>
      <c r="AC27">
        <f t="shared" si="45"/>
        <v>0</v>
      </c>
      <c r="AD27">
        <f t="shared" si="46"/>
        <v>0</v>
      </c>
      <c r="AE27">
        <f t="shared" si="47"/>
        <v>0</v>
      </c>
      <c r="AF27">
        <f>ROUND(((EV27*1.3)),6)</f>
        <v>18.512</v>
      </c>
      <c r="AG27">
        <f t="shared" si="24"/>
        <v>0</v>
      </c>
      <c r="AH27">
        <f>((EW27*1.3))</f>
        <v>1.1700000000000002</v>
      </c>
      <c r="AI27">
        <f t="shared" si="48"/>
        <v>0</v>
      </c>
      <c r="AJ27">
        <f t="shared" si="25"/>
        <v>0</v>
      </c>
      <c r="AK27">
        <v>14.24</v>
      </c>
      <c r="AL27">
        <v>0</v>
      </c>
      <c r="AM27">
        <v>0</v>
      </c>
      <c r="AN27">
        <v>0</v>
      </c>
      <c r="AO27">
        <v>14.24</v>
      </c>
      <c r="AP27">
        <v>0</v>
      </c>
      <c r="AQ27">
        <v>0.9</v>
      </c>
      <c r="AR27">
        <v>0</v>
      </c>
      <c r="AS27">
        <v>0</v>
      </c>
      <c r="AT27">
        <v>68</v>
      </c>
      <c r="AU27">
        <v>41</v>
      </c>
      <c r="AV27">
        <v>1</v>
      </c>
      <c r="AW27">
        <v>1</v>
      </c>
      <c r="AZ27">
        <v>1</v>
      </c>
      <c r="BA27">
        <v>24.82</v>
      </c>
      <c r="BB27">
        <v>1</v>
      </c>
      <c r="BC27">
        <v>1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50</v>
      </c>
      <c r="BM27">
        <v>381</v>
      </c>
      <c r="BN27">
        <v>0</v>
      </c>
      <c r="BO27" t="s">
        <v>3</v>
      </c>
      <c r="BP27">
        <v>0</v>
      </c>
      <c r="BQ27">
        <v>50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68</v>
      </c>
      <c r="CA27">
        <v>41</v>
      </c>
      <c r="CE27">
        <v>30</v>
      </c>
      <c r="CF27">
        <v>0</v>
      </c>
      <c r="CG27">
        <v>0</v>
      </c>
      <c r="CM27">
        <v>0</v>
      </c>
      <c r="CN27" t="s">
        <v>40</v>
      </c>
      <c r="CO27">
        <v>0</v>
      </c>
      <c r="CP27">
        <f t="shared" si="26"/>
        <v>918.84</v>
      </c>
      <c r="CQ27">
        <f t="shared" si="27"/>
        <v>0</v>
      </c>
      <c r="CR27">
        <f t="shared" si="49"/>
        <v>0</v>
      </c>
      <c r="CS27">
        <f t="shared" si="28"/>
        <v>0</v>
      </c>
      <c r="CT27">
        <f t="shared" si="29"/>
        <v>459.42</v>
      </c>
      <c r="CU27">
        <f t="shared" si="30"/>
        <v>0</v>
      </c>
      <c r="CV27">
        <f t="shared" si="31"/>
        <v>1.1700000000000002</v>
      </c>
      <c r="CW27">
        <f t="shared" si="32"/>
        <v>0</v>
      </c>
      <c r="CX27">
        <f t="shared" si="32"/>
        <v>0</v>
      </c>
      <c r="CY27">
        <f t="shared" si="33"/>
        <v>624.8112000000001</v>
      </c>
      <c r="CZ27">
        <f t="shared" si="34"/>
        <v>376.7244</v>
      </c>
      <c r="DC27" t="s">
        <v>3</v>
      </c>
      <c r="DD27" t="s">
        <v>3</v>
      </c>
      <c r="DE27" t="s">
        <v>3</v>
      </c>
      <c r="DF27" t="s">
        <v>3</v>
      </c>
      <c r="DG27" t="s">
        <v>41</v>
      </c>
      <c r="DH27" t="s">
        <v>3</v>
      </c>
      <c r="DI27" t="s">
        <v>41</v>
      </c>
      <c r="DJ27" t="s">
        <v>3</v>
      </c>
      <c r="DK27" t="s">
        <v>3</v>
      </c>
      <c r="DL27" t="s">
        <v>3</v>
      </c>
      <c r="DM27" t="s">
        <v>3</v>
      </c>
      <c r="DN27">
        <v>75</v>
      </c>
      <c r="DO27">
        <v>70</v>
      </c>
      <c r="DP27">
        <v>1</v>
      </c>
      <c r="DQ27">
        <v>1</v>
      </c>
      <c r="DU27">
        <v>1013</v>
      </c>
      <c r="DV27" t="s">
        <v>49</v>
      </c>
      <c r="DW27" t="s">
        <v>49</v>
      </c>
      <c r="DX27">
        <v>1</v>
      </c>
      <c r="EE27">
        <v>22827222</v>
      </c>
      <c r="EF27">
        <v>50</v>
      </c>
      <c r="EG27" t="s">
        <v>42</v>
      </c>
      <c r="EH27">
        <v>0</v>
      </c>
      <c r="EI27" t="s">
        <v>3</v>
      </c>
      <c r="EJ27">
        <v>4</v>
      </c>
      <c r="EK27">
        <v>381</v>
      </c>
      <c r="EL27" t="s">
        <v>43</v>
      </c>
      <c r="EM27" t="s">
        <v>44</v>
      </c>
      <c r="EO27" t="s">
        <v>45</v>
      </c>
      <c r="EQ27">
        <v>0</v>
      </c>
      <c r="ER27">
        <v>14.24</v>
      </c>
      <c r="ES27">
        <v>0</v>
      </c>
      <c r="ET27">
        <v>0</v>
      </c>
      <c r="EU27">
        <v>0</v>
      </c>
      <c r="EV27">
        <v>14.24</v>
      </c>
      <c r="EW27">
        <v>0.9</v>
      </c>
      <c r="EX27">
        <v>0</v>
      </c>
      <c r="EY27">
        <v>0</v>
      </c>
      <c r="FQ27">
        <v>0</v>
      </c>
      <c r="FR27">
        <f t="shared" si="35"/>
        <v>0</v>
      </c>
      <c r="FS27">
        <v>0</v>
      </c>
      <c r="FX27">
        <v>75</v>
      </c>
      <c r="FY27">
        <v>70</v>
      </c>
      <c r="GA27" t="s">
        <v>3</v>
      </c>
      <c r="GD27">
        <v>0</v>
      </c>
      <c r="GF27">
        <v>-206574195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36"/>
        <v>0</v>
      </c>
      <c r="GM27">
        <f t="shared" si="37"/>
        <v>1920.37</v>
      </c>
      <c r="GN27">
        <f t="shared" si="38"/>
        <v>0</v>
      </c>
      <c r="GO27">
        <f t="shared" si="39"/>
        <v>0</v>
      </c>
      <c r="GP27">
        <f t="shared" si="40"/>
        <v>1920.37</v>
      </c>
      <c r="GR27">
        <v>0</v>
      </c>
      <c r="GS27">
        <v>3</v>
      </c>
      <c r="GT27">
        <v>0</v>
      </c>
      <c r="GU27" t="s">
        <v>3</v>
      </c>
      <c r="GV27">
        <f t="shared" si="41"/>
        <v>0</v>
      </c>
      <c r="GW27">
        <v>1</v>
      </c>
      <c r="GX27">
        <f t="shared" si="42"/>
        <v>0</v>
      </c>
      <c r="HA27">
        <v>0</v>
      </c>
      <c r="HB27">
        <v>0</v>
      </c>
      <c r="HC27">
        <f t="shared" si="43"/>
        <v>0</v>
      </c>
      <c r="IK27">
        <v>0</v>
      </c>
    </row>
    <row r="28" spans="1:245" x14ac:dyDescent="0.2">
      <c r="A28">
        <v>17</v>
      </c>
      <c r="B28">
        <v>1</v>
      </c>
      <c r="E28" t="s">
        <v>51</v>
      </c>
      <c r="F28" t="s">
        <v>52</v>
      </c>
      <c r="G28" t="s">
        <v>53</v>
      </c>
      <c r="H28" t="s">
        <v>49</v>
      </c>
      <c r="I28">
        <v>2</v>
      </c>
      <c r="J28">
        <v>0</v>
      </c>
      <c r="O28">
        <f t="shared" si="14"/>
        <v>1838.42</v>
      </c>
      <c r="P28">
        <f t="shared" si="15"/>
        <v>0</v>
      </c>
      <c r="Q28">
        <f t="shared" si="44"/>
        <v>0</v>
      </c>
      <c r="R28">
        <f t="shared" si="16"/>
        <v>0</v>
      </c>
      <c r="S28">
        <f t="shared" si="17"/>
        <v>1838.42</v>
      </c>
      <c r="T28">
        <f t="shared" si="18"/>
        <v>0</v>
      </c>
      <c r="U28">
        <f t="shared" si="19"/>
        <v>4.6800000000000006</v>
      </c>
      <c r="V28">
        <f t="shared" si="20"/>
        <v>0</v>
      </c>
      <c r="W28">
        <f t="shared" si="21"/>
        <v>0</v>
      </c>
      <c r="X28">
        <f t="shared" si="22"/>
        <v>1250.1300000000001</v>
      </c>
      <c r="Y28">
        <f t="shared" si="22"/>
        <v>753.75</v>
      </c>
      <c r="AA28">
        <v>23436802</v>
      </c>
      <c r="AB28">
        <f t="shared" si="23"/>
        <v>37.036999999999999</v>
      </c>
      <c r="AC28">
        <f t="shared" si="45"/>
        <v>0</v>
      </c>
      <c r="AD28">
        <f t="shared" si="46"/>
        <v>0</v>
      </c>
      <c r="AE28">
        <f t="shared" si="47"/>
        <v>0</v>
      </c>
      <c r="AF28">
        <f>ROUND(((EV28*1.3)),6)</f>
        <v>37.036999999999999</v>
      </c>
      <c r="AG28">
        <f t="shared" si="24"/>
        <v>0</v>
      </c>
      <c r="AH28">
        <f>((EW28*1.3))</f>
        <v>2.3400000000000003</v>
      </c>
      <c r="AI28">
        <f t="shared" si="48"/>
        <v>0</v>
      </c>
      <c r="AJ28">
        <f t="shared" si="25"/>
        <v>0</v>
      </c>
      <c r="AK28">
        <v>28.49</v>
      </c>
      <c r="AL28">
        <v>0</v>
      </c>
      <c r="AM28">
        <v>0</v>
      </c>
      <c r="AN28">
        <v>0</v>
      </c>
      <c r="AO28">
        <v>28.49</v>
      </c>
      <c r="AP28">
        <v>0</v>
      </c>
      <c r="AQ28">
        <v>1.8</v>
      </c>
      <c r="AR28">
        <v>0</v>
      </c>
      <c r="AS28">
        <v>0</v>
      </c>
      <c r="AT28">
        <v>68</v>
      </c>
      <c r="AU28">
        <v>41</v>
      </c>
      <c r="AV28">
        <v>1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4</v>
      </c>
      <c r="BJ28" t="s">
        <v>54</v>
      </c>
      <c r="BM28">
        <v>381</v>
      </c>
      <c r="BN28">
        <v>0</v>
      </c>
      <c r="BO28" t="s">
        <v>3</v>
      </c>
      <c r="BP28">
        <v>0</v>
      </c>
      <c r="BQ28">
        <v>50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68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40</v>
      </c>
      <c r="CO28">
        <v>0</v>
      </c>
      <c r="CP28">
        <f t="shared" si="26"/>
        <v>1838.42</v>
      </c>
      <c r="CQ28">
        <f t="shared" si="27"/>
        <v>0</v>
      </c>
      <c r="CR28">
        <f t="shared" si="49"/>
        <v>0</v>
      </c>
      <c r="CS28">
        <f t="shared" si="28"/>
        <v>0</v>
      </c>
      <c r="CT28">
        <f t="shared" si="29"/>
        <v>919.33</v>
      </c>
      <c r="CU28">
        <f t="shared" si="30"/>
        <v>0</v>
      </c>
      <c r="CV28">
        <f t="shared" si="31"/>
        <v>2.3400000000000003</v>
      </c>
      <c r="CW28">
        <f t="shared" si="32"/>
        <v>0</v>
      </c>
      <c r="CX28">
        <f t="shared" si="32"/>
        <v>0</v>
      </c>
      <c r="CY28">
        <f t="shared" si="33"/>
        <v>1250.1256000000001</v>
      </c>
      <c r="CZ28">
        <f t="shared" si="34"/>
        <v>753.75220000000002</v>
      </c>
      <c r="DC28" t="s">
        <v>3</v>
      </c>
      <c r="DD28" t="s">
        <v>3</v>
      </c>
      <c r="DE28" t="s">
        <v>3</v>
      </c>
      <c r="DF28" t="s">
        <v>3</v>
      </c>
      <c r="DG28" t="s">
        <v>41</v>
      </c>
      <c r="DH28" t="s">
        <v>3</v>
      </c>
      <c r="DI28" t="s">
        <v>41</v>
      </c>
      <c r="DJ28" t="s">
        <v>3</v>
      </c>
      <c r="DK28" t="s">
        <v>3</v>
      </c>
      <c r="DL28" t="s">
        <v>3</v>
      </c>
      <c r="DM28" t="s">
        <v>3</v>
      </c>
      <c r="DN28">
        <v>75</v>
      </c>
      <c r="DO28">
        <v>70</v>
      </c>
      <c r="DP28">
        <v>1</v>
      </c>
      <c r="DQ28">
        <v>1</v>
      </c>
      <c r="DU28">
        <v>1013</v>
      </c>
      <c r="DV28" t="s">
        <v>49</v>
      </c>
      <c r="DW28" t="s">
        <v>49</v>
      </c>
      <c r="DX28">
        <v>1</v>
      </c>
      <c r="EE28">
        <v>22827222</v>
      </c>
      <c r="EF28">
        <v>50</v>
      </c>
      <c r="EG28" t="s">
        <v>42</v>
      </c>
      <c r="EH28">
        <v>0</v>
      </c>
      <c r="EI28" t="s">
        <v>3</v>
      </c>
      <c r="EJ28">
        <v>4</v>
      </c>
      <c r="EK28">
        <v>381</v>
      </c>
      <c r="EL28" t="s">
        <v>43</v>
      </c>
      <c r="EM28" t="s">
        <v>44</v>
      </c>
      <c r="EO28" t="s">
        <v>45</v>
      </c>
      <c r="EQ28">
        <v>0</v>
      </c>
      <c r="ER28">
        <v>28.49</v>
      </c>
      <c r="ES28">
        <v>0</v>
      </c>
      <c r="ET28">
        <v>0</v>
      </c>
      <c r="EU28">
        <v>0</v>
      </c>
      <c r="EV28">
        <v>28.49</v>
      </c>
      <c r="EW28">
        <v>1.8</v>
      </c>
      <c r="EX28">
        <v>0</v>
      </c>
      <c r="EY28">
        <v>0</v>
      </c>
      <c r="FQ28">
        <v>0</v>
      </c>
      <c r="FR28">
        <f t="shared" si="35"/>
        <v>0</v>
      </c>
      <c r="FS28">
        <v>0</v>
      </c>
      <c r="FX28">
        <v>75</v>
      </c>
      <c r="FY28">
        <v>70</v>
      </c>
      <c r="GA28" t="s">
        <v>3</v>
      </c>
      <c r="GD28">
        <v>0</v>
      </c>
      <c r="GF28">
        <v>-1721344325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6"/>
        <v>0</v>
      </c>
      <c r="GM28">
        <f t="shared" si="37"/>
        <v>3842.3</v>
      </c>
      <c r="GN28">
        <f t="shared" si="38"/>
        <v>0</v>
      </c>
      <c r="GO28">
        <f t="shared" si="39"/>
        <v>0</v>
      </c>
      <c r="GP28">
        <f t="shared" si="40"/>
        <v>3842.3</v>
      </c>
      <c r="GR28">
        <v>0</v>
      </c>
      <c r="GS28">
        <v>3</v>
      </c>
      <c r="GT28">
        <v>0</v>
      </c>
      <c r="GU28" t="s">
        <v>3</v>
      </c>
      <c r="GV28">
        <f t="shared" si="41"/>
        <v>0</v>
      </c>
      <c r="GW28">
        <v>1</v>
      </c>
      <c r="GX28">
        <f t="shared" si="42"/>
        <v>0</v>
      </c>
      <c r="HA28">
        <v>0</v>
      </c>
      <c r="HB28">
        <v>0</v>
      </c>
      <c r="HC28">
        <f t="shared" si="43"/>
        <v>0</v>
      </c>
      <c r="IK28">
        <v>0</v>
      </c>
    </row>
    <row r="29" spans="1:245" x14ac:dyDescent="0.2">
      <c r="A29">
        <v>17</v>
      </c>
      <c r="B29">
        <v>1</v>
      </c>
      <c r="E29" t="s">
        <v>55</v>
      </c>
      <c r="F29" t="s">
        <v>56</v>
      </c>
      <c r="G29" t="s">
        <v>57</v>
      </c>
      <c r="H29" t="s">
        <v>58</v>
      </c>
      <c r="I29">
        <v>4</v>
      </c>
      <c r="J29">
        <v>0</v>
      </c>
      <c r="O29">
        <f t="shared" si="14"/>
        <v>5902.2</v>
      </c>
      <c r="P29">
        <f t="shared" si="15"/>
        <v>0</v>
      </c>
      <c r="Q29">
        <f t="shared" si="44"/>
        <v>0</v>
      </c>
      <c r="R29">
        <f t="shared" si="16"/>
        <v>0</v>
      </c>
      <c r="S29">
        <f t="shared" si="17"/>
        <v>5902.2</v>
      </c>
      <c r="T29">
        <f t="shared" si="18"/>
        <v>0</v>
      </c>
      <c r="U29">
        <f t="shared" si="19"/>
        <v>14.040000000000001</v>
      </c>
      <c r="V29">
        <f t="shared" si="20"/>
        <v>0</v>
      </c>
      <c r="W29">
        <f t="shared" si="21"/>
        <v>0</v>
      </c>
      <c r="X29">
        <f t="shared" si="22"/>
        <v>4013.5</v>
      </c>
      <c r="Y29">
        <f t="shared" si="22"/>
        <v>2419.9</v>
      </c>
      <c r="AA29">
        <v>23436802</v>
      </c>
      <c r="AB29">
        <f t="shared" si="23"/>
        <v>59.448999999999998</v>
      </c>
      <c r="AC29">
        <f t="shared" si="45"/>
        <v>0</v>
      </c>
      <c r="AD29">
        <f t="shared" si="46"/>
        <v>0</v>
      </c>
      <c r="AE29">
        <f t="shared" si="47"/>
        <v>0</v>
      </c>
      <c r="AF29">
        <f>ROUND(((EV29*1.3)),6)</f>
        <v>59.448999999999998</v>
      </c>
      <c r="AG29">
        <f t="shared" si="24"/>
        <v>0</v>
      </c>
      <c r="AH29">
        <f>((EW29*1.3))</f>
        <v>3.5100000000000002</v>
      </c>
      <c r="AI29">
        <f t="shared" si="48"/>
        <v>0</v>
      </c>
      <c r="AJ29">
        <f t="shared" si="25"/>
        <v>0</v>
      </c>
      <c r="AK29">
        <v>45.73</v>
      </c>
      <c r="AL29">
        <v>0</v>
      </c>
      <c r="AM29">
        <v>0</v>
      </c>
      <c r="AN29">
        <v>0</v>
      </c>
      <c r="AO29">
        <v>45.73</v>
      </c>
      <c r="AP29">
        <v>0</v>
      </c>
      <c r="AQ29">
        <v>2.7</v>
      </c>
      <c r="AR29">
        <v>0</v>
      </c>
      <c r="AS29">
        <v>0</v>
      </c>
      <c r="AT29">
        <v>68</v>
      </c>
      <c r="AU29">
        <v>41</v>
      </c>
      <c r="AV29">
        <v>1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59</v>
      </c>
      <c r="BM29">
        <v>381</v>
      </c>
      <c r="BN29">
        <v>0</v>
      </c>
      <c r="BO29" t="s">
        <v>3</v>
      </c>
      <c r="BP29">
        <v>0</v>
      </c>
      <c r="BQ29">
        <v>50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68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60</v>
      </c>
      <c r="CO29">
        <v>0</v>
      </c>
      <c r="CP29">
        <f t="shared" si="26"/>
        <v>5902.2</v>
      </c>
      <c r="CQ29">
        <f t="shared" si="27"/>
        <v>0</v>
      </c>
      <c r="CR29">
        <f t="shared" si="49"/>
        <v>0</v>
      </c>
      <c r="CS29">
        <f t="shared" si="28"/>
        <v>0</v>
      </c>
      <c r="CT29">
        <f t="shared" si="29"/>
        <v>1475.55</v>
      </c>
      <c r="CU29">
        <f t="shared" si="30"/>
        <v>0</v>
      </c>
      <c r="CV29">
        <f t="shared" si="31"/>
        <v>3.5100000000000002</v>
      </c>
      <c r="CW29">
        <f t="shared" si="32"/>
        <v>0</v>
      </c>
      <c r="CX29">
        <f t="shared" si="32"/>
        <v>0</v>
      </c>
      <c r="CY29">
        <f t="shared" si="33"/>
        <v>4013.4960000000001</v>
      </c>
      <c r="CZ29">
        <f t="shared" si="34"/>
        <v>2419.9019999999996</v>
      </c>
      <c r="DC29" t="s">
        <v>3</v>
      </c>
      <c r="DD29" t="s">
        <v>3</v>
      </c>
      <c r="DE29" t="s">
        <v>3</v>
      </c>
      <c r="DF29" t="s">
        <v>3</v>
      </c>
      <c r="DG29" t="s">
        <v>41</v>
      </c>
      <c r="DH29" t="s">
        <v>3</v>
      </c>
      <c r="DI29" t="s">
        <v>41</v>
      </c>
      <c r="DJ29" t="s">
        <v>3</v>
      </c>
      <c r="DK29" t="s">
        <v>3</v>
      </c>
      <c r="DL29" t="s">
        <v>3</v>
      </c>
      <c r="DM29" t="s">
        <v>3</v>
      </c>
      <c r="DN29">
        <v>75</v>
      </c>
      <c r="DO29">
        <v>70</v>
      </c>
      <c r="DP29">
        <v>1</v>
      </c>
      <c r="DQ29">
        <v>1</v>
      </c>
      <c r="DU29">
        <v>1013</v>
      </c>
      <c r="DV29" t="s">
        <v>58</v>
      </c>
      <c r="DW29" t="s">
        <v>58</v>
      </c>
      <c r="DX29">
        <v>1</v>
      </c>
      <c r="EE29">
        <v>22827222</v>
      </c>
      <c r="EF29">
        <v>50</v>
      </c>
      <c r="EG29" t="s">
        <v>42</v>
      </c>
      <c r="EH29">
        <v>0</v>
      </c>
      <c r="EI29" t="s">
        <v>3</v>
      </c>
      <c r="EJ29">
        <v>4</v>
      </c>
      <c r="EK29">
        <v>381</v>
      </c>
      <c r="EL29" t="s">
        <v>43</v>
      </c>
      <c r="EM29" t="s">
        <v>44</v>
      </c>
      <c r="EO29" t="s">
        <v>61</v>
      </c>
      <c r="EQ29">
        <v>0</v>
      </c>
      <c r="ER29">
        <v>45.73</v>
      </c>
      <c r="ES29">
        <v>0</v>
      </c>
      <c r="ET29">
        <v>0</v>
      </c>
      <c r="EU29">
        <v>0</v>
      </c>
      <c r="EV29">
        <v>45.73</v>
      </c>
      <c r="EW29">
        <v>2.7</v>
      </c>
      <c r="EX29">
        <v>0</v>
      </c>
      <c r="EY29">
        <v>0</v>
      </c>
      <c r="FQ29">
        <v>0</v>
      </c>
      <c r="FR29">
        <f t="shared" si="35"/>
        <v>0</v>
      </c>
      <c r="FS29">
        <v>0</v>
      </c>
      <c r="FX29">
        <v>75</v>
      </c>
      <c r="FY29">
        <v>70</v>
      </c>
      <c r="GA29" t="s">
        <v>3</v>
      </c>
      <c r="GD29">
        <v>0</v>
      </c>
      <c r="GF29">
        <v>153838416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36"/>
        <v>0</v>
      </c>
      <c r="GM29">
        <f t="shared" si="37"/>
        <v>12335.6</v>
      </c>
      <c r="GN29">
        <f t="shared" si="38"/>
        <v>0</v>
      </c>
      <c r="GO29">
        <f t="shared" si="39"/>
        <v>0</v>
      </c>
      <c r="GP29">
        <f t="shared" si="40"/>
        <v>12335.6</v>
      </c>
      <c r="GR29">
        <v>0</v>
      </c>
      <c r="GS29">
        <v>0</v>
      </c>
      <c r="GT29">
        <v>0</v>
      </c>
      <c r="GU29" t="s">
        <v>3</v>
      </c>
      <c r="GV29">
        <f t="shared" si="41"/>
        <v>0</v>
      </c>
      <c r="GW29">
        <v>1</v>
      </c>
      <c r="GX29">
        <f t="shared" si="42"/>
        <v>0</v>
      </c>
      <c r="HA29">
        <v>0</v>
      </c>
      <c r="HB29">
        <v>0</v>
      </c>
      <c r="HC29">
        <f t="shared" si="43"/>
        <v>0</v>
      </c>
      <c r="IK29">
        <v>0</v>
      </c>
    </row>
    <row r="30" spans="1:245" x14ac:dyDescent="0.2">
      <c r="A30">
        <v>17</v>
      </c>
      <c r="B30">
        <v>1</v>
      </c>
      <c r="E30" t="s">
        <v>62</v>
      </c>
      <c r="F30" t="s">
        <v>63</v>
      </c>
      <c r="G30" t="s">
        <v>64</v>
      </c>
      <c r="H30" t="s">
        <v>58</v>
      </c>
      <c r="I30">
        <v>6</v>
      </c>
      <c r="J30">
        <v>0</v>
      </c>
      <c r="O30">
        <f t="shared" si="14"/>
        <v>23554.92</v>
      </c>
      <c r="P30">
        <f t="shared" si="15"/>
        <v>0</v>
      </c>
      <c r="Q30">
        <f t="shared" si="44"/>
        <v>0</v>
      </c>
      <c r="R30">
        <f t="shared" si="16"/>
        <v>0</v>
      </c>
      <c r="S30">
        <f t="shared" si="17"/>
        <v>23554.92</v>
      </c>
      <c r="T30">
        <f t="shared" si="18"/>
        <v>0</v>
      </c>
      <c r="U30">
        <f t="shared" si="19"/>
        <v>63.179999999999993</v>
      </c>
      <c r="V30">
        <f t="shared" si="20"/>
        <v>0</v>
      </c>
      <c r="W30">
        <f t="shared" si="21"/>
        <v>0</v>
      </c>
      <c r="X30">
        <f t="shared" si="22"/>
        <v>16017.35</v>
      </c>
      <c r="Y30">
        <f t="shared" si="22"/>
        <v>9657.52</v>
      </c>
      <c r="AA30">
        <v>23436802</v>
      </c>
      <c r="AB30">
        <f t="shared" si="23"/>
        <v>158.17099999999999</v>
      </c>
      <c r="AC30">
        <f t="shared" si="45"/>
        <v>0</v>
      </c>
      <c r="AD30">
        <f t="shared" si="46"/>
        <v>0</v>
      </c>
      <c r="AE30">
        <f t="shared" si="47"/>
        <v>0</v>
      </c>
      <c r="AF30">
        <f>ROUND(((EV30*1.3)),6)</f>
        <v>158.17099999999999</v>
      </c>
      <c r="AG30">
        <f t="shared" si="24"/>
        <v>0</v>
      </c>
      <c r="AH30">
        <f>((EW30*1.3))</f>
        <v>10.53</v>
      </c>
      <c r="AI30">
        <f t="shared" si="48"/>
        <v>0</v>
      </c>
      <c r="AJ30">
        <f t="shared" si="25"/>
        <v>0</v>
      </c>
      <c r="AK30">
        <v>121.67</v>
      </c>
      <c r="AL30">
        <v>0</v>
      </c>
      <c r="AM30">
        <v>0</v>
      </c>
      <c r="AN30">
        <v>0</v>
      </c>
      <c r="AO30">
        <v>121.67</v>
      </c>
      <c r="AP30">
        <v>0</v>
      </c>
      <c r="AQ30">
        <v>8.1</v>
      </c>
      <c r="AR30">
        <v>0</v>
      </c>
      <c r="AS30">
        <v>0</v>
      </c>
      <c r="AT30">
        <v>68</v>
      </c>
      <c r="AU30">
        <v>41</v>
      </c>
      <c r="AV30">
        <v>1</v>
      </c>
      <c r="AW30">
        <v>1</v>
      </c>
      <c r="AZ30">
        <v>1</v>
      </c>
      <c r="BA30">
        <v>24.82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4</v>
      </c>
      <c r="BJ30" t="s">
        <v>65</v>
      </c>
      <c r="BM30">
        <v>381</v>
      </c>
      <c r="BN30">
        <v>0</v>
      </c>
      <c r="BO30" t="s">
        <v>3</v>
      </c>
      <c r="BP30">
        <v>0</v>
      </c>
      <c r="BQ30">
        <v>50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68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60</v>
      </c>
      <c r="CO30">
        <v>0</v>
      </c>
      <c r="CP30">
        <f t="shared" si="26"/>
        <v>23554.92</v>
      </c>
      <c r="CQ30">
        <f t="shared" si="27"/>
        <v>0</v>
      </c>
      <c r="CR30">
        <f t="shared" si="49"/>
        <v>0</v>
      </c>
      <c r="CS30">
        <f t="shared" si="28"/>
        <v>0</v>
      </c>
      <c r="CT30">
        <f t="shared" si="29"/>
        <v>3925.78</v>
      </c>
      <c r="CU30">
        <f t="shared" si="30"/>
        <v>0</v>
      </c>
      <c r="CV30">
        <f t="shared" si="31"/>
        <v>10.53</v>
      </c>
      <c r="CW30">
        <f t="shared" si="32"/>
        <v>0</v>
      </c>
      <c r="CX30">
        <f t="shared" si="32"/>
        <v>0</v>
      </c>
      <c r="CY30">
        <f t="shared" si="33"/>
        <v>16017.345600000001</v>
      </c>
      <c r="CZ30">
        <f t="shared" si="34"/>
        <v>9657.5171999999984</v>
      </c>
      <c r="DC30" t="s">
        <v>3</v>
      </c>
      <c r="DD30" t="s">
        <v>3</v>
      </c>
      <c r="DE30" t="s">
        <v>3</v>
      </c>
      <c r="DF30" t="s">
        <v>3</v>
      </c>
      <c r="DG30" t="s">
        <v>41</v>
      </c>
      <c r="DH30" t="s">
        <v>3</v>
      </c>
      <c r="DI30" t="s">
        <v>41</v>
      </c>
      <c r="DJ30" t="s">
        <v>3</v>
      </c>
      <c r="DK30" t="s">
        <v>3</v>
      </c>
      <c r="DL30" t="s">
        <v>3</v>
      </c>
      <c r="DM30" t="s">
        <v>3</v>
      </c>
      <c r="DN30">
        <v>75</v>
      </c>
      <c r="DO30">
        <v>70</v>
      </c>
      <c r="DP30">
        <v>1</v>
      </c>
      <c r="DQ30">
        <v>1</v>
      </c>
      <c r="DU30">
        <v>1013</v>
      </c>
      <c r="DV30" t="s">
        <v>58</v>
      </c>
      <c r="DW30" t="s">
        <v>58</v>
      </c>
      <c r="DX30">
        <v>1</v>
      </c>
      <c r="EE30">
        <v>22827222</v>
      </c>
      <c r="EF30">
        <v>50</v>
      </c>
      <c r="EG30" t="s">
        <v>42</v>
      </c>
      <c r="EH30">
        <v>0</v>
      </c>
      <c r="EI30" t="s">
        <v>3</v>
      </c>
      <c r="EJ30">
        <v>4</v>
      </c>
      <c r="EK30">
        <v>381</v>
      </c>
      <c r="EL30" t="s">
        <v>43</v>
      </c>
      <c r="EM30" t="s">
        <v>44</v>
      </c>
      <c r="EO30" t="s">
        <v>61</v>
      </c>
      <c r="EQ30">
        <v>0</v>
      </c>
      <c r="ER30">
        <v>121.67</v>
      </c>
      <c r="ES30">
        <v>0</v>
      </c>
      <c r="ET30">
        <v>0</v>
      </c>
      <c r="EU30">
        <v>0</v>
      </c>
      <c r="EV30">
        <v>121.67</v>
      </c>
      <c r="EW30">
        <v>8.1</v>
      </c>
      <c r="EX30">
        <v>0</v>
      </c>
      <c r="EY30">
        <v>0</v>
      </c>
      <c r="FQ30">
        <v>0</v>
      </c>
      <c r="FR30">
        <f t="shared" si="35"/>
        <v>0</v>
      </c>
      <c r="FS30">
        <v>0</v>
      </c>
      <c r="FX30">
        <v>75</v>
      </c>
      <c r="FY30">
        <v>70</v>
      </c>
      <c r="GA30" t="s">
        <v>3</v>
      </c>
      <c r="GD30">
        <v>0</v>
      </c>
      <c r="GF30">
        <v>337154466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36"/>
        <v>0</v>
      </c>
      <c r="GM30">
        <f t="shared" si="37"/>
        <v>49229.79</v>
      </c>
      <c r="GN30">
        <f t="shared" si="38"/>
        <v>0</v>
      </c>
      <c r="GO30">
        <f t="shared" si="39"/>
        <v>0</v>
      </c>
      <c r="GP30">
        <f t="shared" si="40"/>
        <v>49229.79</v>
      </c>
      <c r="GR30">
        <v>0</v>
      </c>
      <c r="GS30">
        <v>0</v>
      </c>
      <c r="GT30">
        <v>0</v>
      </c>
      <c r="GU30" t="s">
        <v>3</v>
      </c>
      <c r="GV30">
        <f t="shared" si="41"/>
        <v>0</v>
      </c>
      <c r="GW30">
        <v>1</v>
      </c>
      <c r="GX30">
        <f t="shared" si="42"/>
        <v>0</v>
      </c>
      <c r="HA30">
        <v>0</v>
      </c>
      <c r="HB30">
        <v>0</v>
      </c>
      <c r="HC30">
        <f t="shared" si="43"/>
        <v>0</v>
      </c>
      <c r="IK30">
        <v>0</v>
      </c>
    </row>
    <row r="31" spans="1:245" x14ac:dyDescent="0.2">
      <c r="A31">
        <v>17</v>
      </c>
      <c r="B31">
        <v>1</v>
      </c>
      <c r="E31" t="s">
        <v>66</v>
      </c>
      <c r="F31" t="s">
        <v>67</v>
      </c>
      <c r="G31" t="s">
        <v>68</v>
      </c>
      <c r="H31" t="s">
        <v>24</v>
      </c>
      <c r="I31">
        <v>2</v>
      </c>
      <c r="J31">
        <v>0</v>
      </c>
      <c r="O31">
        <f t="shared" si="14"/>
        <v>534400</v>
      </c>
      <c r="P31">
        <f t="shared" si="15"/>
        <v>534400</v>
      </c>
      <c r="Q31">
        <f t="shared" si="44"/>
        <v>0</v>
      </c>
      <c r="R31">
        <f t="shared" si="16"/>
        <v>0</v>
      </c>
      <c r="S31">
        <f t="shared" si="17"/>
        <v>0</v>
      </c>
      <c r="T31">
        <f t="shared" si="18"/>
        <v>0</v>
      </c>
      <c r="U31">
        <f t="shared" si="19"/>
        <v>0</v>
      </c>
      <c r="V31">
        <f t="shared" si="20"/>
        <v>0</v>
      </c>
      <c r="W31">
        <f t="shared" si="21"/>
        <v>0</v>
      </c>
      <c r="X31">
        <f t="shared" si="22"/>
        <v>0</v>
      </c>
      <c r="Y31">
        <f t="shared" si="22"/>
        <v>0</v>
      </c>
      <c r="AA31">
        <v>23436802</v>
      </c>
      <c r="AB31">
        <f t="shared" si="23"/>
        <v>267200</v>
      </c>
      <c r="AC31">
        <f t="shared" si="45"/>
        <v>267200</v>
      </c>
      <c r="AD31">
        <f t="shared" si="46"/>
        <v>0</v>
      </c>
      <c r="AE31">
        <f t="shared" si="47"/>
        <v>0</v>
      </c>
      <c r="AF31">
        <f>ROUND((EV31),6)</f>
        <v>0</v>
      </c>
      <c r="AG31">
        <f t="shared" si="24"/>
        <v>0</v>
      </c>
      <c r="AH31">
        <f>(EW31)</f>
        <v>0</v>
      </c>
      <c r="AI31">
        <f t="shared" si="48"/>
        <v>0</v>
      </c>
      <c r="AJ31">
        <f t="shared" si="25"/>
        <v>0</v>
      </c>
      <c r="AK31">
        <v>267200</v>
      </c>
      <c r="AL31">
        <v>267200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</v>
      </c>
      <c r="BM31">
        <v>0</v>
      </c>
      <c r="BN31">
        <v>0</v>
      </c>
      <c r="BO31" t="s">
        <v>3</v>
      </c>
      <c r="BP31">
        <v>0</v>
      </c>
      <c r="BQ31">
        <v>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6"/>
        <v>534400</v>
      </c>
      <c r="CQ31">
        <f t="shared" si="27"/>
        <v>267200</v>
      </c>
      <c r="CR31">
        <f t="shared" si="49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2"/>
        <v>0</v>
      </c>
      <c r="CY31">
        <f t="shared" si="33"/>
        <v>0</v>
      </c>
      <c r="CZ31">
        <f t="shared" si="34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24</v>
      </c>
      <c r="DW31" t="s">
        <v>24</v>
      </c>
      <c r="DX31">
        <v>1</v>
      </c>
      <c r="EE31">
        <v>22826841</v>
      </c>
      <c r="EF31">
        <v>0</v>
      </c>
      <c r="EG31" t="s">
        <v>3</v>
      </c>
      <c r="EH31">
        <v>0</v>
      </c>
      <c r="EI31" t="s">
        <v>3</v>
      </c>
      <c r="EJ31">
        <v>4</v>
      </c>
      <c r="EK31">
        <v>0</v>
      </c>
      <c r="EL31" t="s">
        <v>69</v>
      </c>
      <c r="EM31" t="s">
        <v>70</v>
      </c>
      <c r="EO31" t="s">
        <v>3</v>
      </c>
      <c r="EQ31">
        <v>0</v>
      </c>
      <c r="ER31">
        <v>267200</v>
      </c>
      <c r="ES31">
        <v>267200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35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-699578205</v>
      </c>
      <c r="GG31">
        <v>2</v>
      </c>
      <c r="GH31">
        <v>2</v>
      </c>
      <c r="GI31">
        <v>0</v>
      </c>
      <c r="GJ31">
        <v>0</v>
      </c>
      <c r="GK31">
        <v>0</v>
      </c>
      <c r="GL31">
        <f t="shared" si="36"/>
        <v>0</v>
      </c>
      <c r="GM31">
        <f>ROUND(O31+X31+Y31,2)+GX31</f>
        <v>534400</v>
      </c>
      <c r="GN31">
        <f>IF(OR(BI31=0,BI31=1),ROUND(O31+X31+Y31,2),0)</f>
        <v>0</v>
      </c>
      <c r="GO31">
        <f>IF(BI31=2,ROUND(O31+X31+Y31,2),0)</f>
        <v>0</v>
      </c>
      <c r="GP31">
        <f>IF(BI31=4,ROUND(O31+X31+Y31,2)+GX31,0)</f>
        <v>534400</v>
      </c>
      <c r="GR31">
        <v>0</v>
      </c>
      <c r="GS31">
        <v>0</v>
      </c>
      <c r="GT31">
        <v>0</v>
      </c>
      <c r="GU31" t="s">
        <v>3</v>
      </c>
      <c r="GV31">
        <f t="shared" si="41"/>
        <v>0</v>
      </c>
      <c r="GW31">
        <v>1</v>
      </c>
      <c r="GX31">
        <f t="shared" si="42"/>
        <v>0</v>
      </c>
      <c r="HA31">
        <v>0</v>
      </c>
      <c r="HB31">
        <v>0</v>
      </c>
      <c r="HC31">
        <f t="shared" si="43"/>
        <v>0</v>
      </c>
      <c r="IK31">
        <v>0</v>
      </c>
    </row>
    <row r="33" spans="1:206" x14ac:dyDescent="0.2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Замена силовых трансформаторов</v>
      </c>
      <c r="H33" s="2">
        <v>0</v>
      </c>
      <c r="I33" s="2"/>
      <c r="J33" s="2"/>
      <c r="K33" s="2"/>
      <c r="L33" s="2"/>
      <c r="M33" s="2"/>
      <c r="N33" s="2"/>
      <c r="O33" s="2">
        <f t="shared" ref="O33:T33" si="50">ROUND(AB33,2)</f>
        <v>626610.09</v>
      </c>
      <c r="P33" s="2">
        <f t="shared" si="50"/>
        <v>537340.18000000005</v>
      </c>
      <c r="Q33" s="2">
        <f t="shared" si="50"/>
        <v>14527.95</v>
      </c>
      <c r="R33" s="2">
        <f t="shared" si="50"/>
        <v>9376.75</v>
      </c>
      <c r="S33" s="2">
        <f t="shared" si="50"/>
        <v>74741.960000000006</v>
      </c>
      <c r="T33" s="2">
        <f t="shared" si="50"/>
        <v>0</v>
      </c>
      <c r="U33" s="2">
        <f>AH33</f>
        <v>212.53533999999996</v>
      </c>
      <c r="V33" s="2">
        <f>AI33</f>
        <v>0</v>
      </c>
      <c r="W33" s="2">
        <f>ROUND(AJ33,2)</f>
        <v>0</v>
      </c>
      <c r="X33" s="2">
        <f>ROUND(AK33,2)</f>
        <v>53635</v>
      </c>
      <c r="Y33" s="2">
        <f>ROUND(AL33,2)</f>
        <v>30644.19</v>
      </c>
      <c r="Z33" s="2"/>
      <c r="AA33" s="2"/>
      <c r="AB33" s="2">
        <f>ROUND(SUMIF(AA24:AA31,"=23436802",O24:O31),2)</f>
        <v>626610.09</v>
      </c>
      <c r="AC33" s="2">
        <f>ROUND(SUMIF(AA24:AA31,"=23436802",P24:P31),2)</f>
        <v>537340.18000000005</v>
      </c>
      <c r="AD33" s="2">
        <f>ROUND(SUMIF(AA24:AA31,"=23436802",Q24:Q31),2)</f>
        <v>14527.95</v>
      </c>
      <c r="AE33" s="2">
        <f>ROUND(SUMIF(AA24:AA31,"=23436802",R24:R31),2)</f>
        <v>9376.75</v>
      </c>
      <c r="AF33" s="2">
        <f>ROUND(SUMIF(AA24:AA31,"=23436802",S24:S31),2)</f>
        <v>74741.960000000006</v>
      </c>
      <c r="AG33" s="2">
        <f>ROUND(SUMIF(AA24:AA31,"=23436802",T24:T31),2)</f>
        <v>0</v>
      </c>
      <c r="AH33" s="2">
        <f>SUMIF(AA24:AA31,"=23436802",U24:U31)</f>
        <v>212.53533999999996</v>
      </c>
      <c r="AI33" s="2">
        <f>SUMIF(AA24:AA31,"=23436802",V24:V31)</f>
        <v>0</v>
      </c>
      <c r="AJ33" s="2">
        <f>ROUND(SUMIF(AA24:AA31,"=23436802",W24:W31),2)</f>
        <v>0</v>
      </c>
      <c r="AK33" s="2">
        <f>ROUND(SUMIF(AA24:AA31,"=23436802",X24:X31),2)</f>
        <v>53635</v>
      </c>
      <c r="AL33" s="2">
        <f>ROUND(SUMIF(AA24:AA31,"=23436802",Y24:Y31),2)</f>
        <v>30644.19</v>
      </c>
      <c r="AM33" s="2"/>
      <c r="AN33" s="2"/>
      <c r="AO33" s="2">
        <f t="shared" ref="AO33:BC33" si="51">ROUND(BX33,2)</f>
        <v>0</v>
      </c>
      <c r="AP33" s="2">
        <f t="shared" si="51"/>
        <v>0</v>
      </c>
      <c r="AQ33" s="2">
        <f t="shared" si="51"/>
        <v>0</v>
      </c>
      <c r="AR33" s="2">
        <f t="shared" si="51"/>
        <v>725610.78</v>
      </c>
      <c r="AS33" s="2">
        <f t="shared" si="51"/>
        <v>0</v>
      </c>
      <c r="AT33" s="2">
        <f t="shared" si="51"/>
        <v>100265.1</v>
      </c>
      <c r="AU33" s="2">
        <f t="shared" si="51"/>
        <v>625345.68000000005</v>
      </c>
      <c r="AV33" s="2">
        <f t="shared" si="51"/>
        <v>537340.18000000005</v>
      </c>
      <c r="AW33" s="2">
        <f t="shared" si="51"/>
        <v>537340.18000000005</v>
      </c>
      <c r="AX33" s="2">
        <f t="shared" si="51"/>
        <v>0</v>
      </c>
      <c r="AY33" s="2">
        <f t="shared" si="51"/>
        <v>537340.18000000005</v>
      </c>
      <c r="AZ33" s="2">
        <f t="shared" si="51"/>
        <v>0</v>
      </c>
      <c r="BA33" s="2">
        <f t="shared" si="51"/>
        <v>0</v>
      </c>
      <c r="BB33" s="2">
        <f t="shared" si="51"/>
        <v>0</v>
      </c>
      <c r="BC33" s="2">
        <f t="shared" si="51"/>
        <v>0</v>
      </c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>
        <f>ROUND(SUMIF(AA24:AA31,"=23436802",FQ24:FQ31),2)</f>
        <v>0</v>
      </c>
      <c r="BY33" s="2">
        <f>ROUND(SUMIF(AA24:AA31,"=23436802",FR24:FR31),2)</f>
        <v>0</v>
      </c>
      <c r="BZ33" s="2">
        <f>ROUND(SUMIF(AA24:AA31,"=23436802",GL24:GL31),2)</f>
        <v>0</v>
      </c>
      <c r="CA33" s="2">
        <f>ROUND(SUMIF(AA24:AA31,"=23436802",GM24:GM31),2)</f>
        <v>725610.78</v>
      </c>
      <c r="CB33" s="2">
        <f>ROUND(SUMIF(AA24:AA31,"=23436802",GN24:GN31),2)</f>
        <v>0</v>
      </c>
      <c r="CC33" s="2">
        <f>ROUND(SUMIF(AA24:AA31,"=23436802",GO24:GO31),2)</f>
        <v>100265.1</v>
      </c>
      <c r="CD33" s="2">
        <f>ROUND(SUMIF(AA24:AA31,"=23436802",GP24:GP31),2)</f>
        <v>625345.68000000005</v>
      </c>
      <c r="CE33" s="2">
        <f>AC33-BX33</f>
        <v>537340.18000000005</v>
      </c>
      <c r="CF33" s="2">
        <f>AC33-BY33</f>
        <v>537340.18000000005</v>
      </c>
      <c r="CG33" s="2">
        <f>BX33-BZ33</f>
        <v>0</v>
      </c>
      <c r="CH33" s="2">
        <f>AC33-BX33-BY33+BZ33</f>
        <v>537340.18000000005</v>
      </c>
      <c r="CI33" s="2">
        <f>BY33-BZ33</f>
        <v>0</v>
      </c>
      <c r="CJ33" s="2">
        <f>ROUND(SUMIF(AA24:AA31,"=23436802",GX24:GX31),2)</f>
        <v>0</v>
      </c>
      <c r="CK33" s="2">
        <f>ROUND(SUMIF(AA24:AA31,"=23436802",GY24:GY31),2)</f>
        <v>0</v>
      </c>
      <c r="CL33" s="2">
        <f>ROUND(SUMIF(AA24:AA31,"=23436802",GZ24:GZ31),2)</f>
        <v>0</v>
      </c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>
        <v>0</v>
      </c>
    </row>
    <row r="35" spans="1:206" x14ac:dyDescent="0.2">
      <c r="A35" s="4">
        <v>50</v>
      </c>
      <c r="B35" s="4">
        <v>0</v>
      </c>
      <c r="C35" s="4">
        <v>0</v>
      </c>
      <c r="D35" s="4">
        <v>1</v>
      </c>
      <c r="E35" s="4">
        <v>201</v>
      </c>
      <c r="F35" s="4">
        <f>ROUND(Source!O33,O35)</f>
        <v>626610.09</v>
      </c>
      <c r="G35" s="4" t="s">
        <v>71</v>
      </c>
      <c r="H35" s="4" t="s">
        <v>72</v>
      </c>
      <c r="I35" s="4"/>
      <c r="J35" s="4"/>
      <c r="K35" s="4">
        <v>201</v>
      </c>
      <c r="L35" s="4">
        <v>1</v>
      </c>
      <c r="M35" s="4">
        <v>3</v>
      </c>
      <c r="N35" s="4" t="s">
        <v>3</v>
      </c>
      <c r="O35" s="4">
        <v>2</v>
      </c>
      <c r="P35" s="4"/>
      <c r="Q35" s="4"/>
      <c r="R35" s="4"/>
      <c r="S35" s="4"/>
      <c r="T35" s="4"/>
      <c r="U35" s="4"/>
      <c r="V35" s="4"/>
      <c r="W35" s="4"/>
    </row>
    <row r="36" spans="1:206" x14ac:dyDescent="0.2">
      <c r="A36" s="4">
        <v>50</v>
      </c>
      <c r="B36" s="4">
        <v>0</v>
      </c>
      <c r="C36" s="4">
        <v>0</v>
      </c>
      <c r="D36" s="4">
        <v>1</v>
      </c>
      <c r="E36" s="4">
        <v>202</v>
      </c>
      <c r="F36" s="4">
        <f>ROUND(Source!P33,O36)</f>
        <v>537340.18000000005</v>
      </c>
      <c r="G36" s="4" t="s">
        <v>73</v>
      </c>
      <c r="H36" s="4" t="s">
        <v>74</v>
      </c>
      <c r="I36" s="4"/>
      <c r="J36" s="4"/>
      <c r="K36" s="4">
        <v>202</v>
      </c>
      <c r="L36" s="4">
        <v>2</v>
      </c>
      <c r="M36" s="4">
        <v>3</v>
      </c>
      <c r="N36" s="4" t="s">
        <v>3</v>
      </c>
      <c r="O36" s="4">
        <v>2</v>
      </c>
      <c r="P36" s="4"/>
      <c r="Q36" s="4"/>
      <c r="R36" s="4"/>
      <c r="S36" s="4"/>
      <c r="T36" s="4"/>
      <c r="U36" s="4"/>
      <c r="V36" s="4"/>
      <c r="W36" s="4"/>
    </row>
    <row r="37" spans="1:206" x14ac:dyDescent="0.2">
      <c r="A37" s="4">
        <v>50</v>
      </c>
      <c r="B37" s="4">
        <v>0</v>
      </c>
      <c r="C37" s="4">
        <v>0</v>
      </c>
      <c r="D37" s="4">
        <v>1</v>
      </c>
      <c r="E37" s="4">
        <v>222</v>
      </c>
      <c r="F37" s="4">
        <f>ROUND(Source!AO33,O37)</f>
        <v>0</v>
      </c>
      <c r="G37" s="4" t="s">
        <v>75</v>
      </c>
      <c r="H37" s="4" t="s">
        <v>76</v>
      </c>
      <c r="I37" s="4"/>
      <c r="J37" s="4"/>
      <c r="K37" s="4">
        <v>222</v>
      </c>
      <c r="L37" s="4">
        <v>3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06" x14ac:dyDescent="0.2">
      <c r="A38" s="4">
        <v>50</v>
      </c>
      <c r="B38" s="4">
        <v>0</v>
      </c>
      <c r="C38" s="4">
        <v>0</v>
      </c>
      <c r="D38" s="4">
        <v>1</v>
      </c>
      <c r="E38" s="4">
        <v>225</v>
      </c>
      <c r="F38" s="4">
        <f>ROUND(Source!AV33,O38)</f>
        <v>537340.18000000005</v>
      </c>
      <c r="G38" s="4" t="s">
        <v>77</v>
      </c>
      <c r="H38" s="4" t="s">
        <v>78</v>
      </c>
      <c r="I38" s="4"/>
      <c r="J38" s="4"/>
      <c r="K38" s="4">
        <v>225</v>
      </c>
      <c r="L38" s="4">
        <v>4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06" x14ac:dyDescent="0.2">
      <c r="A39" s="4">
        <v>50</v>
      </c>
      <c r="B39" s="4">
        <v>0</v>
      </c>
      <c r="C39" s="4">
        <v>0</v>
      </c>
      <c r="D39" s="4">
        <v>1</v>
      </c>
      <c r="E39" s="4">
        <v>226</v>
      </c>
      <c r="F39" s="4">
        <f>ROUND(Source!AW33,O39)</f>
        <v>537340.18000000005</v>
      </c>
      <c r="G39" s="4" t="s">
        <v>79</v>
      </c>
      <c r="H39" s="4" t="s">
        <v>80</v>
      </c>
      <c r="I39" s="4"/>
      <c r="J39" s="4"/>
      <c r="K39" s="4">
        <v>226</v>
      </c>
      <c r="L39" s="4">
        <v>5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06" x14ac:dyDescent="0.2">
      <c r="A40" s="4">
        <v>50</v>
      </c>
      <c r="B40" s="4">
        <v>0</v>
      </c>
      <c r="C40" s="4">
        <v>0</v>
      </c>
      <c r="D40" s="4">
        <v>1</v>
      </c>
      <c r="E40" s="4">
        <v>227</v>
      </c>
      <c r="F40" s="4">
        <f>ROUND(Source!AX33,O40)</f>
        <v>0</v>
      </c>
      <c r="G40" s="4" t="s">
        <v>81</v>
      </c>
      <c r="H40" s="4" t="s">
        <v>82</v>
      </c>
      <c r="I40" s="4"/>
      <c r="J40" s="4"/>
      <c r="K40" s="4">
        <v>227</v>
      </c>
      <c r="L40" s="4">
        <v>6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06" x14ac:dyDescent="0.2">
      <c r="A41" s="4">
        <v>50</v>
      </c>
      <c r="B41" s="4">
        <v>0</v>
      </c>
      <c r="C41" s="4">
        <v>0</v>
      </c>
      <c r="D41" s="4">
        <v>1</v>
      </c>
      <c r="E41" s="4">
        <v>228</v>
      </c>
      <c r="F41" s="4">
        <f>ROUND(Source!AY33,O41)</f>
        <v>537340.18000000005</v>
      </c>
      <c r="G41" s="4" t="s">
        <v>83</v>
      </c>
      <c r="H41" s="4" t="s">
        <v>84</v>
      </c>
      <c r="I41" s="4"/>
      <c r="J41" s="4"/>
      <c r="K41" s="4">
        <v>228</v>
      </c>
      <c r="L41" s="4">
        <v>7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06" x14ac:dyDescent="0.2">
      <c r="A42" s="4">
        <v>50</v>
      </c>
      <c r="B42" s="4">
        <v>0</v>
      </c>
      <c r="C42" s="4">
        <v>0</v>
      </c>
      <c r="D42" s="4">
        <v>1</v>
      </c>
      <c r="E42" s="4">
        <v>216</v>
      </c>
      <c r="F42" s="4">
        <f>ROUND(Source!AP33,O42)</f>
        <v>0</v>
      </c>
      <c r="G42" s="4" t="s">
        <v>85</v>
      </c>
      <c r="H42" s="4" t="s">
        <v>86</v>
      </c>
      <c r="I42" s="4"/>
      <c r="J42" s="4"/>
      <c r="K42" s="4">
        <v>216</v>
      </c>
      <c r="L42" s="4">
        <v>8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06" x14ac:dyDescent="0.2">
      <c r="A43" s="4">
        <v>50</v>
      </c>
      <c r="B43" s="4">
        <v>0</v>
      </c>
      <c r="C43" s="4">
        <v>0</v>
      </c>
      <c r="D43" s="4">
        <v>1</v>
      </c>
      <c r="E43" s="4">
        <v>223</v>
      </c>
      <c r="F43" s="4">
        <f>ROUND(Source!AQ33,O43)</f>
        <v>0</v>
      </c>
      <c r="G43" s="4" t="s">
        <v>87</v>
      </c>
      <c r="H43" s="4" t="s">
        <v>88</v>
      </c>
      <c r="I43" s="4"/>
      <c r="J43" s="4"/>
      <c r="K43" s="4">
        <v>223</v>
      </c>
      <c r="L43" s="4">
        <v>9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06" x14ac:dyDescent="0.2">
      <c r="A44" s="4">
        <v>50</v>
      </c>
      <c r="B44" s="4">
        <v>0</v>
      </c>
      <c r="C44" s="4">
        <v>0</v>
      </c>
      <c r="D44" s="4">
        <v>1</v>
      </c>
      <c r="E44" s="4">
        <v>229</v>
      </c>
      <c r="F44" s="4">
        <f>ROUND(Source!AZ33,O44)</f>
        <v>0</v>
      </c>
      <c r="G44" s="4" t="s">
        <v>89</v>
      </c>
      <c r="H44" s="4" t="s">
        <v>90</v>
      </c>
      <c r="I44" s="4"/>
      <c r="J44" s="4"/>
      <c r="K44" s="4">
        <v>229</v>
      </c>
      <c r="L44" s="4">
        <v>10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06" x14ac:dyDescent="0.2">
      <c r="A45" s="4">
        <v>50</v>
      </c>
      <c r="B45" s="4">
        <v>0</v>
      </c>
      <c r="C45" s="4">
        <v>0</v>
      </c>
      <c r="D45" s="4">
        <v>1</v>
      </c>
      <c r="E45" s="4">
        <v>203</v>
      </c>
      <c r="F45" s="4">
        <f>ROUND(Source!Q33,O45)</f>
        <v>14527.95</v>
      </c>
      <c r="G45" s="4" t="s">
        <v>91</v>
      </c>
      <c r="H45" s="4" t="s">
        <v>92</v>
      </c>
      <c r="I45" s="4"/>
      <c r="J45" s="4"/>
      <c r="K45" s="4">
        <v>203</v>
      </c>
      <c r="L45" s="4">
        <v>11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06" x14ac:dyDescent="0.2">
      <c r="A46" s="4">
        <v>50</v>
      </c>
      <c r="B46" s="4">
        <v>0</v>
      </c>
      <c r="C46" s="4">
        <v>0</v>
      </c>
      <c r="D46" s="4">
        <v>1</v>
      </c>
      <c r="E46" s="4">
        <v>231</v>
      </c>
      <c r="F46" s="4">
        <f>ROUND(Source!BB33,O46)</f>
        <v>0</v>
      </c>
      <c r="G46" s="4" t="s">
        <v>93</v>
      </c>
      <c r="H46" s="4" t="s">
        <v>94</v>
      </c>
      <c r="I46" s="4"/>
      <c r="J46" s="4"/>
      <c r="K46" s="4">
        <v>231</v>
      </c>
      <c r="L46" s="4">
        <v>12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06" x14ac:dyDescent="0.2">
      <c r="A47" s="4">
        <v>50</v>
      </c>
      <c r="B47" s="4">
        <v>0</v>
      </c>
      <c r="C47" s="4">
        <v>0</v>
      </c>
      <c r="D47" s="4">
        <v>1</v>
      </c>
      <c r="E47" s="4">
        <v>204</v>
      </c>
      <c r="F47" s="4">
        <f>ROUND(Source!R33,O47)</f>
        <v>9376.75</v>
      </c>
      <c r="G47" s="4" t="s">
        <v>95</v>
      </c>
      <c r="H47" s="4" t="s">
        <v>96</v>
      </c>
      <c r="I47" s="4"/>
      <c r="J47" s="4"/>
      <c r="K47" s="4">
        <v>204</v>
      </c>
      <c r="L47" s="4">
        <v>13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06" x14ac:dyDescent="0.2">
      <c r="A48" s="4">
        <v>50</v>
      </c>
      <c r="B48" s="4">
        <v>0</v>
      </c>
      <c r="C48" s="4">
        <v>0</v>
      </c>
      <c r="D48" s="4">
        <v>1</v>
      </c>
      <c r="E48" s="4">
        <v>205</v>
      </c>
      <c r="F48" s="4">
        <f>ROUND(Source!S33,O48)</f>
        <v>74741.960000000006</v>
      </c>
      <c r="G48" s="4" t="s">
        <v>97</v>
      </c>
      <c r="H48" s="4" t="s">
        <v>98</v>
      </c>
      <c r="I48" s="4"/>
      <c r="J48" s="4"/>
      <c r="K48" s="4">
        <v>205</v>
      </c>
      <c r="L48" s="4">
        <v>14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06" x14ac:dyDescent="0.2">
      <c r="A49" s="4">
        <v>50</v>
      </c>
      <c r="B49" s="4">
        <v>0</v>
      </c>
      <c r="C49" s="4">
        <v>0</v>
      </c>
      <c r="D49" s="4">
        <v>1</v>
      </c>
      <c r="E49" s="4">
        <v>232</v>
      </c>
      <c r="F49" s="4">
        <f>ROUND(Source!BC33,O49)</f>
        <v>0</v>
      </c>
      <c r="G49" s="4" t="s">
        <v>99</v>
      </c>
      <c r="H49" s="4" t="s">
        <v>100</v>
      </c>
      <c r="I49" s="4"/>
      <c r="J49" s="4"/>
      <c r="K49" s="4">
        <v>232</v>
      </c>
      <c r="L49" s="4">
        <v>15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06" x14ac:dyDescent="0.2">
      <c r="A50" s="4">
        <v>50</v>
      </c>
      <c r="B50" s="4">
        <v>0</v>
      </c>
      <c r="C50" s="4">
        <v>0</v>
      </c>
      <c r="D50" s="4">
        <v>1</v>
      </c>
      <c r="E50" s="4">
        <v>214</v>
      </c>
      <c r="F50" s="4">
        <f>ROUND(Source!AS33,O50)</f>
        <v>0</v>
      </c>
      <c r="G50" s="4" t="s">
        <v>101</v>
      </c>
      <c r="H50" s="4" t="s">
        <v>102</v>
      </c>
      <c r="I50" s="4"/>
      <c r="J50" s="4"/>
      <c r="K50" s="4">
        <v>214</v>
      </c>
      <c r="L50" s="4">
        <v>16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06" x14ac:dyDescent="0.2">
      <c r="A51" s="4">
        <v>50</v>
      </c>
      <c r="B51" s="4">
        <v>0</v>
      </c>
      <c r="C51" s="4">
        <v>0</v>
      </c>
      <c r="D51" s="4">
        <v>1</v>
      </c>
      <c r="E51" s="4">
        <v>215</v>
      </c>
      <c r="F51" s="4">
        <f>ROUND(Source!AT33,O51)</f>
        <v>100265.1</v>
      </c>
      <c r="G51" s="4" t="s">
        <v>103</v>
      </c>
      <c r="H51" s="4" t="s">
        <v>104</v>
      </c>
      <c r="I51" s="4"/>
      <c r="J51" s="4"/>
      <c r="K51" s="4">
        <v>215</v>
      </c>
      <c r="L51" s="4">
        <v>17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06" x14ac:dyDescent="0.2">
      <c r="A52" s="4">
        <v>50</v>
      </c>
      <c r="B52" s="4">
        <v>0</v>
      </c>
      <c r="C52" s="4">
        <v>0</v>
      </c>
      <c r="D52" s="4">
        <v>1</v>
      </c>
      <c r="E52" s="4">
        <v>217</v>
      </c>
      <c r="F52" s="4">
        <f>ROUND(Source!AU33,O52)</f>
        <v>625345.68000000005</v>
      </c>
      <c r="G52" s="4" t="s">
        <v>105</v>
      </c>
      <c r="H52" s="4" t="s">
        <v>106</v>
      </c>
      <c r="I52" s="4"/>
      <c r="J52" s="4"/>
      <c r="K52" s="4">
        <v>217</v>
      </c>
      <c r="L52" s="4">
        <v>18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06" x14ac:dyDescent="0.2">
      <c r="A53" s="4">
        <v>50</v>
      </c>
      <c r="B53" s="4">
        <v>0</v>
      </c>
      <c r="C53" s="4">
        <v>0</v>
      </c>
      <c r="D53" s="4">
        <v>1</v>
      </c>
      <c r="E53" s="4">
        <v>230</v>
      </c>
      <c r="F53" s="4">
        <f>ROUND(Source!BA33,O53)</f>
        <v>0</v>
      </c>
      <c r="G53" s="4" t="s">
        <v>107</v>
      </c>
      <c r="H53" s="4" t="s">
        <v>108</v>
      </c>
      <c r="I53" s="4"/>
      <c r="J53" s="4"/>
      <c r="K53" s="4">
        <v>230</v>
      </c>
      <c r="L53" s="4">
        <v>19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06" x14ac:dyDescent="0.2">
      <c r="A54" s="4">
        <v>50</v>
      </c>
      <c r="B54" s="4">
        <v>0</v>
      </c>
      <c r="C54" s="4">
        <v>0</v>
      </c>
      <c r="D54" s="4">
        <v>1</v>
      </c>
      <c r="E54" s="4">
        <v>206</v>
      </c>
      <c r="F54" s="4">
        <f>ROUND(Source!T33,O54)</f>
        <v>0</v>
      </c>
      <c r="G54" s="4" t="s">
        <v>109</v>
      </c>
      <c r="H54" s="4" t="s">
        <v>110</v>
      </c>
      <c r="I54" s="4"/>
      <c r="J54" s="4"/>
      <c r="K54" s="4">
        <v>206</v>
      </c>
      <c r="L54" s="4">
        <v>20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06" x14ac:dyDescent="0.2">
      <c r="A55" s="4">
        <v>50</v>
      </c>
      <c r="B55" s="4">
        <v>0</v>
      </c>
      <c r="C55" s="4">
        <v>0</v>
      </c>
      <c r="D55" s="4">
        <v>1</v>
      </c>
      <c r="E55" s="4">
        <v>207</v>
      </c>
      <c r="F55" s="4">
        <f>Source!U33</f>
        <v>212.53533999999996</v>
      </c>
      <c r="G55" s="4" t="s">
        <v>111</v>
      </c>
      <c r="H55" s="4" t="s">
        <v>112</v>
      </c>
      <c r="I55" s="4"/>
      <c r="J55" s="4"/>
      <c r="K55" s="4">
        <v>207</v>
      </c>
      <c r="L55" s="4">
        <v>21</v>
      </c>
      <c r="M55" s="4">
        <v>3</v>
      </c>
      <c r="N55" s="4" t="s">
        <v>3</v>
      </c>
      <c r="O55" s="4">
        <v>-1</v>
      </c>
      <c r="P55" s="4"/>
      <c r="Q55" s="4"/>
      <c r="R55" s="4"/>
      <c r="S55" s="4"/>
      <c r="T55" s="4"/>
      <c r="U55" s="4"/>
      <c r="V55" s="4"/>
      <c r="W55" s="4"/>
    </row>
    <row r="56" spans="1:206" x14ac:dyDescent="0.2">
      <c r="A56" s="4">
        <v>50</v>
      </c>
      <c r="B56" s="4">
        <v>0</v>
      </c>
      <c r="C56" s="4">
        <v>0</v>
      </c>
      <c r="D56" s="4">
        <v>1</v>
      </c>
      <c r="E56" s="4">
        <v>208</v>
      </c>
      <c r="F56" s="4">
        <f>Source!V33</f>
        <v>0</v>
      </c>
      <c r="G56" s="4" t="s">
        <v>113</v>
      </c>
      <c r="H56" s="4" t="s">
        <v>114</v>
      </c>
      <c r="I56" s="4"/>
      <c r="J56" s="4"/>
      <c r="K56" s="4">
        <v>208</v>
      </c>
      <c r="L56" s="4">
        <v>22</v>
      </c>
      <c r="M56" s="4">
        <v>3</v>
      </c>
      <c r="N56" s="4" t="s">
        <v>3</v>
      </c>
      <c r="O56" s="4">
        <v>-1</v>
      </c>
      <c r="P56" s="4"/>
      <c r="Q56" s="4"/>
      <c r="R56" s="4"/>
      <c r="S56" s="4"/>
      <c r="T56" s="4"/>
      <c r="U56" s="4"/>
      <c r="V56" s="4"/>
      <c r="W56" s="4"/>
    </row>
    <row r="57" spans="1:206" x14ac:dyDescent="0.2">
      <c r="A57" s="4">
        <v>50</v>
      </c>
      <c r="B57" s="4">
        <v>0</v>
      </c>
      <c r="C57" s="4">
        <v>0</v>
      </c>
      <c r="D57" s="4">
        <v>1</v>
      </c>
      <c r="E57" s="4">
        <v>209</v>
      </c>
      <c r="F57" s="4">
        <f>ROUND(Source!W33,O57)</f>
        <v>0</v>
      </c>
      <c r="G57" s="4" t="s">
        <v>115</v>
      </c>
      <c r="H57" s="4" t="s">
        <v>116</v>
      </c>
      <c r="I57" s="4"/>
      <c r="J57" s="4"/>
      <c r="K57" s="4">
        <v>209</v>
      </c>
      <c r="L57" s="4">
        <v>23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06" x14ac:dyDescent="0.2">
      <c r="A58" s="4">
        <v>50</v>
      </c>
      <c r="B58" s="4">
        <v>0</v>
      </c>
      <c r="C58" s="4">
        <v>0</v>
      </c>
      <c r="D58" s="4">
        <v>1</v>
      </c>
      <c r="E58" s="4">
        <v>210</v>
      </c>
      <c r="F58" s="4">
        <f>ROUND(Source!X33,O58)</f>
        <v>53635</v>
      </c>
      <c r="G58" s="4" t="s">
        <v>117</v>
      </c>
      <c r="H58" s="4" t="s">
        <v>118</v>
      </c>
      <c r="I58" s="4"/>
      <c r="J58" s="4"/>
      <c r="K58" s="4">
        <v>210</v>
      </c>
      <c r="L58" s="4">
        <v>24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06" x14ac:dyDescent="0.2">
      <c r="A59" s="4">
        <v>50</v>
      </c>
      <c r="B59" s="4">
        <v>0</v>
      </c>
      <c r="C59" s="4">
        <v>0</v>
      </c>
      <c r="D59" s="4">
        <v>1</v>
      </c>
      <c r="E59" s="4">
        <v>211</v>
      </c>
      <c r="F59" s="4">
        <f>ROUND(Source!Y33,O59)</f>
        <v>30644.19</v>
      </c>
      <c r="G59" s="4" t="s">
        <v>119</v>
      </c>
      <c r="H59" s="4" t="s">
        <v>120</v>
      </c>
      <c r="I59" s="4"/>
      <c r="J59" s="4"/>
      <c r="K59" s="4">
        <v>211</v>
      </c>
      <c r="L59" s="4">
        <v>25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06" x14ac:dyDescent="0.2">
      <c r="A60" s="4">
        <v>50</v>
      </c>
      <c r="B60" s="4">
        <v>0</v>
      </c>
      <c r="C60" s="4">
        <v>0</v>
      </c>
      <c r="D60" s="4">
        <v>1</v>
      </c>
      <c r="E60" s="4">
        <v>224</v>
      </c>
      <c r="F60" s="4">
        <f>ROUND(Source!AR33,O60)</f>
        <v>725610.78</v>
      </c>
      <c r="G60" s="4" t="s">
        <v>121</v>
      </c>
      <c r="H60" s="4" t="s">
        <v>122</v>
      </c>
      <c r="I60" s="4"/>
      <c r="J60" s="4"/>
      <c r="K60" s="4">
        <v>224</v>
      </c>
      <c r="L60" s="4">
        <v>26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2" spans="1:206" x14ac:dyDescent="0.2">
      <c r="A62" s="2">
        <v>51</v>
      </c>
      <c r="B62" s="2">
        <f>B12</f>
        <v>97</v>
      </c>
      <c r="C62" s="2">
        <f>A12</f>
        <v>1</v>
      </c>
      <c r="D62" s="2">
        <f>ROW(A12)</f>
        <v>12</v>
      </c>
      <c r="E62" s="2"/>
      <c r="F62" s="2" t="str">
        <f>IF(F12&lt;&gt;"",F12,"")</f>
        <v>ТП-515 - Замена Трансформаторов</v>
      </c>
      <c r="G62" s="2" t="str">
        <f>IF(G12&lt;&gt;"",G12,"")</f>
        <v>ТП-515 - Замена Трансформаторов</v>
      </c>
      <c r="H62" s="2">
        <v>0</v>
      </c>
      <c r="I62" s="2"/>
      <c r="J62" s="2"/>
      <c r="K62" s="2"/>
      <c r="L62" s="2"/>
      <c r="M62" s="2"/>
      <c r="N62" s="2"/>
      <c r="O62" s="2">
        <f t="shared" ref="O62:T62" si="52">ROUND(O33,2)</f>
        <v>626610.09</v>
      </c>
      <c r="P62" s="2">
        <f t="shared" si="52"/>
        <v>537340.18000000005</v>
      </c>
      <c r="Q62" s="2">
        <f t="shared" si="52"/>
        <v>14527.95</v>
      </c>
      <c r="R62" s="2">
        <f t="shared" si="52"/>
        <v>9376.75</v>
      </c>
      <c r="S62" s="2">
        <f t="shared" si="52"/>
        <v>74741.960000000006</v>
      </c>
      <c r="T62" s="2">
        <f t="shared" si="52"/>
        <v>0</v>
      </c>
      <c r="U62" s="2">
        <f>U33</f>
        <v>212.53533999999996</v>
      </c>
      <c r="V62" s="2">
        <f>V33</f>
        <v>0</v>
      </c>
      <c r="W62" s="2">
        <f>ROUND(W33,2)</f>
        <v>0</v>
      </c>
      <c r="X62" s="2">
        <f>ROUND(X33,2)</f>
        <v>53635</v>
      </c>
      <c r="Y62" s="2">
        <f>ROUND(Y33,2)</f>
        <v>30644.19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>
        <f t="shared" ref="AO62:BC62" si="53">ROUND(AO33,2)</f>
        <v>0</v>
      </c>
      <c r="AP62" s="2">
        <f t="shared" si="53"/>
        <v>0</v>
      </c>
      <c r="AQ62" s="2">
        <f t="shared" si="53"/>
        <v>0</v>
      </c>
      <c r="AR62" s="2">
        <f t="shared" si="53"/>
        <v>725610.78</v>
      </c>
      <c r="AS62" s="2">
        <f t="shared" si="53"/>
        <v>0</v>
      </c>
      <c r="AT62" s="2">
        <f t="shared" si="53"/>
        <v>100265.1</v>
      </c>
      <c r="AU62" s="2">
        <f t="shared" si="53"/>
        <v>625345.68000000005</v>
      </c>
      <c r="AV62" s="2">
        <f t="shared" si="53"/>
        <v>537340.18000000005</v>
      </c>
      <c r="AW62" s="2">
        <f t="shared" si="53"/>
        <v>537340.18000000005</v>
      </c>
      <c r="AX62" s="2">
        <f t="shared" si="53"/>
        <v>0</v>
      </c>
      <c r="AY62" s="2">
        <f t="shared" si="53"/>
        <v>537340.18000000005</v>
      </c>
      <c r="AZ62" s="2">
        <f t="shared" si="53"/>
        <v>0</v>
      </c>
      <c r="BA62" s="2">
        <f t="shared" si="53"/>
        <v>0</v>
      </c>
      <c r="BB62" s="2">
        <f t="shared" si="53"/>
        <v>0</v>
      </c>
      <c r="BC62" s="2">
        <f t="shared" si="53"/>
        <v>0</v>
      </c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>
        <v>0</v>
      </c>
    </row>
    <row r="64" spans="1:206" x14ac:dyDescent="0.2">
      <c r="A64" s="4">
        <v>50</v>
      </c>
      <c r="B64" s="4">
        <v>0</v>
      </c>
      <c r="C64" s="4">
        <v>0</v>
      </c>
      <c r="D64" s="4">
        <v>1</v>
      </c>
      <c r="E64" s="4">
        <v>201</v>
      </c>
      <c r="F64" s="4">
        <f>ROUND(Source!O62,O64)</f>
        <v>626610.09</v>
      </c>
      <c r="G64" s="4" t="s">
        <v>71</v>
      </c>
      <c r="H64" s="4" t="s">
        <v>72</v>
      </c>
      <c r="I64" s="4"/>
      <c r="J64" s="4"/>
      <c r="K64" s="4">
        <v>201</v>
      </c>
      <c r="L64" s="4">
        <v>1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202</v>
      </c>
      <c r="F65" s="4">
        <f>ROUND(Source!P62,O65)</f>
        <v>537340.18000000005</v>
      </c>
      <c r="G65" s="4" t="s">
        <v>73</v>
      </c>
      <c r="H65" s="4" t="s">
        <v>74</v>
      </c>
      <c r="I65" s="4"/>
      <c r="J65" s="4"/>
      <c r="K65" s="4">
        <v>202</v>
      </c>
      <c r="L65" s="4">
        <v>2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222</v>
      </c>
      <c r="F66" s="4">
        <f>ROUND(Source!AO62,O66)</f>
        <v>0</v>
      </c>
      <c r="G66" s="4" t="s">
        <v>75</v>
      </c>
      <c r="H66" s="4" t="s">
        <v>76</v>
      </c>
      <c r="I66" s="4"/>
      <c r="J66" s="4"/>
      <c r="K66" s="4">
        <v>222</v>
      </c>
      <c r="L66" s="4">
        <v>3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225</v>
      </c>
      <c r="F67" s="4">
        <f>ROUND(Source!AV62,O67)</f>
        <v>537340.18000000005</v>
      </c>
      <c r="G67" s="4" t="s">
        <v>77</v>
      </c>
      <c r="H67" s="4" t="s">
        <v>78</v>
      </c>
      <c r="I67" s="4"/>
      <c r="J67" s="4"/>
      <c r="K67" s="4">
        <v>225</v>
      </c>
      <c r="L67" s="4">
        <v>4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226</v>
      </c>
      <c r="F68" s="4">
        <f>ROUND(Source!AW62,O68)</f>
        <v>537340.18000000005</v>
      </c>
      <c r="G68" s="4" t="s">
        <v>79</v>
      </c>
      <c r="H68" s="4" t="s">
        <v>80</v>
      </c>
      <c r="I68" s="4"/>
      <c r="J68" s="4"/>
      <c r="K68" s="4">
        <v>226</v>
      </c>
      <c r="L68" s="4">
        <v>5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227</v>
      </c>
      <c r="F69" s="4">
        <f>ROUND(Source!AX62,O69)</f>
        <v>0</v>
      </c>
      <c r="G69" s="4" t="s">
        <v>81</v>
      </c>
      <c r="H69" s="4" t="s">
        <v>82</v>
      </c>
      <c r="I69" s="4"/>
      <c r="J69" s="4"/>
      <c r="K69" s="4">
        <v>227</v>
      </c>
      <c r="L69" s="4">
        <v>6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228</v>
      </c>
      <c r="F70" s="4">
        <f>ROUND(Source!AY62,O70)</f>
        <v>537340.18000000005</v>
      </c>
      <c r="G70" s="4" t="s">
        <v>83</v>
      </c>
      <c r="H70" s="4" t="s">
        <v>84</v>
      </c>
      <c r="I70" s="4"/>
      <c r="J70" s="4"/>
      <c r="K70" s="4">
        <v>228</v>
      </c>
      <c r="L70" s="4">
        <v>7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216</v>
      </c>
      <c r="F71" s="4">
        <f>ROUND(Source!AP62,O71)</f>
        <v>0</v>
      </c>
      <c r="G71" s="4" t="s">
        <v>85</v>
      </c>
      <c r="H71" s="4" t="s">
        <v>86</v>
      </c>
      <c r="I71" s="4"/>
      <c r="J71" s="4"/>
      <c r="K71" s="4">
        <v>216</v>
      </c>
      <c r="L71" s="4">
        <v>8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223</v>
      </c>
      <c r="F72" s="4">
        <f>ROUND(Source!AQ62,O72)</f>
        <v>0</v>
      </c>
      <c r="G72" s="4" t="s">
        <v>87</v>
      </c>
      <c r="H72" s="4" t="s">
        <v>88</v>
      </c>
      <c r="I72" s="4"/>
      <c r="J72" s="4"/>
      <c r="K72" s="4">
        <v>223</v>
      </c>
      <c r="L72" s="4">
        <v>9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229</v>
      </c>
      <c r="F73" s="4">
        <f>ROUND(Source!AZ62,O73)</f>
        <v>0</v>
      </c>
      <c r="G73" s="4" t="s">
        <v>89</v>
      </c>
      <c r="H73" s="4" t="s">
        <v>90</v>
      </c>
      <c r="I73" s="4"/>
      <c r="J73" s="4"/>
      <c r="K73" s="4">
        <v>229</v>
      </c>
      <c r="L73" s="4">
        <v>10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203</v>
      </c>
      <c r="F74" s="4">
        <f>ROUND(Source!Q62,O74)</f>
        <v>14527.95</v>
      </c>
      <c r="G74" s="4" t="s">
        <v>91</v>
      </c>
      <c r="H74" s="4" t="s">
        <v>92</v>
      </c>
      <c r="I74" s="4"/>
      <c r="J74" s="4"/>
      <c r="K74" s="4">
        <v>203</v>
      </c>
      <c r="L74" s="4">
        <v>11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231</v>
      </c>
      <c r="F75" s="4">
        <f>ROUND(Source!BB62,O75)</f>
        <v>0</v>
      </c>
      <c r="G75" s="4" t="s">
        <v>93</v>
      </c>
      <c r="H75" s="4" t="s">
        <v>94</v>
      </c>
      <c r="I75" s="4"/>
      <c r="J75" s="4"/>
      <c r="K75" s="4">
        <v>231</v>
      </c>
      <c r="L75" s="4">
        <v>12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204</v>
      </c>
      <c r="F76" s="4">
        <f>ROUND(Source!R62,O76)</f>
        <v>9376.75</v>
      </c>
      <c r="G76" s="4" t="s">
        <v>95</v>
      </c>
      <c r="H76" s="4" t="s">
        <v>96</v>
      </c>
      <c r="I76" s="4"/>
      <c r="J76" s="4"/>
      <c r="K76" s="4">
        <v>204</v>
      </c>
      <c r="L76" s="4">
        <v>13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205</v>
      </c>
      <c r="F77" s="4">
        <f>ROUND(Source!S62,O77)</f>
        <v>74741.960000000006</v>
      </c>
      <c r="G77" s="4" t="s">
        <v>97</v>
      </c>
      <c r="H77" s="4" t="s">
        <v>98</v>
      </c>
      <c r="I77" s="4"/>
      <c r="J77" s="4"/>
      <c r="K77" s="4">
        <v>205</v>
      </c>
      <c r="L77" s="4">
        <v>14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232</v>
      </c>
      <c r="F78" s="4">
        <f>ROUND(Source!BC62,O78)</f>
        <v>0</v>
      </c>
      <c r="G78" s="4" t="s">
        <v>99</v>
      </c>
      <c r="H78" s="4" t="s">
        <v>100</v>
      </c>
      <c r="I78" s="4"/>
      <c r="J78" s="4"/>
      <c r="K78" s="4">
        <v>232</v>
      </c>
      <c r="L78" s="4">
        <v>15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214</v>
      </c>
      <c r="F79" s="4">
        <f>ROUND(Source!AS62,O79)</f>
        <v>0</v>
      </c>
      <c r="G79" s="4" t="s">
        <v>101</v>
      </c>
      <c r="H79" s="4" t="s">
        <v>102</v>
      </c>
      <c r="I79" s="4"/>
      <c r="J79" s="4"/>
      <c r="K79" s="4">
        <v>214</v>
      </c>
      <c r="L79" s="4">
        <v>16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215</v>
      </c>
      <c r="F80" s="4">
        <f>ROUND(Source!AT62,O80)</f>
        <v>100265.1</v>
      </c>
      <c r="G80" s="4" t="s">
        <v>103</v>
      </c>
      <c r="H80" s="4" t="s">
        <v>104</v>
      </c>
      <c r="I80" s="4"/>
      <c r="J80" s="4"/>
      <c r="K80" s="4">
        <v>215</v>
      </c>
      <c r="L80" s="4">
        <v>17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217</v>
      </c>
      <c r="F81" s="4">
        <f>ROUND(Source!AU62,O81)</f>
        <v>625345.68000000005</v>
      </c>
      <c r="G81" s="4" t="s">
        <v>105</v>
      </c>
      <c r="H81" s="4" t="s">
        <v>106</v>
      </c>
      <c r="I81" s="4"/>
      <c r="J81" s="4"/>
      <c r="K81" s="4">
        <v>217</v>
      </c>
      <c r="L81" s="4">
        <v>18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230</v>
      </c>
      <c r="F82" s="4">
        <f>ROUND(Source!BA62,O82)</f>
        <v>0</v>
      </c>
      <c r="G82" s="4" t="s">
        <v>107</v>
      </c>
      <c r="H82" s="4" t="s">
        <v>108</v>
      </c>
      <c r="I82" s="4"/>
      <c r="J82" s="4"/>
      <c r="K82" s="4">
        <v>230</v>
      </c>
      <c r="L82" s="4">
        <v>19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206</v>
      </c>
      <c r="F83" s="4">
        <f>ROUND(Source!T62,O83)</f>
        <v>0</v>
      </c>
      <c r="G83" s="4" t="s">
        <v>109</v>
      </c>
      <c r="H83" s="4" t="s">
        <v>110</v>
      </c>
      <c r="I83" s="4"/>
      <c r="J83" s="4"/>
      <c r="K83" s="4">
        <v>206</v>
      </c>
      <c r="L83" s="4">
        <v>20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207</v>
      </c>
      <c r="F84" s="4">
        <f>Source!U62</f>
        <v>212.53533999999996</v>
      </c>
      <c r="G84" s="4" t="s">
        <v>111</v>
      </c>
      <c r="H84" s="4" t="s">
        <v>112</v>
      </c>
      <c r="I84" s="4"/>
      <c r="J84" s="4"/>
      <c r="K84" s="4">
        <v>207</v>
      </c>
      <c r="L84" s="4">
        <v>21</v>
      </c>
      <c r="M84" s="4">
        <v>3</v>
      </c>
      <c r="N84" s="4" t="s">
        <v>3</v>
      </c>
      <c r="O84" s="4">
        <v>-1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208</v>
      </c>
      <c r="F85" s="4">
        <f>Source!V62</f>
        <v>0</v>
      </c>
      <c r="G85" s="4" t="s">
        <v>113</v>
      </c>
      <c r="H85" s="4" t="s">
        <v>114</v>
      </c>
      <c r="I85" s="4"/>
      <c r="J85" s="4"/>
      <c r="K85" s="4">
        <v>208</v>
      </c>
      <c r="L85" s="4">
        <v>22</v>
      </c>
      <c r="M85" s="4">
        <v>3</v>
      </c>
      <c r="N85" s="4" t="s">
        <v>3</v>
      </c>
      <c r="O85" s="4">
        <v>-1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209</v>
      </c>
      <c r="F86" s="4">
        <f>ROUND(Source!W62,O86)</f>
        <v>0</v>
      </c>
      <c r="G86" s="4" t="s">
        <v>115</v>
      </c>
      <c r="H86" s="4" t="s">
        <v>116</v>
      </c>
      <c r="I86" s="4"/>
      <c r="J86" s="4"/>
      <c r="K86" s="4">
        <v>209</v>
      </c>
      <c r="L86" s="4">
        <v>23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210</v>
      </c>
      <c r="F87" s="4">
        <f>ROUND(Source!X62,O87)</f>
        <v>53635</v>
      </c>
      <c r="G87" s="4" t="s">
        <v>117</v>
      </c>
      <c r="H87" s="4" t="s">
        <v>118</v>
      </c>
      <c r="I87" s="4"/>
      <c r="J87" s="4"/>
      <c r="K87" s="4">
        <v>210</v>
      </c>
      <c r="L87" s="4">
        <v>24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211</v>
      </c>
      <c r="F88" s="4">
        <f>ROUND(Source!Y62,O88)</f>
        <v>30644.19</v>
      </c>
      <c r="G88" s="4" t="s">
        <v>119</v>
      </c>
      <c r="H88" s="4" t="s">
        <v>120</v>
      </c>
      <c r="I88" s="4"/>
      <c r="J88" s="4"/>
      <c r="K88" s="4">
        <v>211</v>
      </c>
      <c r="L88" s="4">
        <v>25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224</v>
      </c>
      <c r="F89" s="4">
        <f>ROUND(Source!AR62,O89)</f>
        <v>725610.78</v>
      </c>
      <c r="G89" s="4" t="s">
        <v>121</v>
      </c>
      <c r="H89" s="4" t="s">
        <v>122</v>
      </c>
      <c r="I89" s="4"/>
      <c r="J89" s="4"/>
      <c r="K89" s="4">
        <v>224</v>
      </c>
      <c r="L89" s="4">
        <v>26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2</v>
      </c>
      <c r="E90" s="4">
        <v>0</v>
      </c>
      <c r="F90" s="4">
        <f>ROUND(F89,O90)</f>
        <v>725610.78</v>
      </c>
      <c r="G90" s="4" t="s">
        <v>123</v>
      </c>
      <c r="H90" s="4" t="s">
        <v>123</v>
      </c>
      <c r="I90" s="4"/>
      <c r="J90" s="4"/>
      <c r="K90" s="4">
        <v>212</v>
      </c>
      <c r="L90" s="4">
        <v>27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1</v>
      </c>
      <c r="C91" s="4">
        <v>0</v>
      </c>
      <c r="D91" s="4">
        <v>2</v>
      </c>
      <c r="E91" s="4">
        <v>0</v>
      </c>
      <c r="F91" s="4">
        <f>ROUND(F90*0.2,O91)</f>
        <v>145122.16</v>
      </c>
      <c r="G91" s="4" t="s">
        <v>124</v>
      </c>
      <c r="H91" s="4" t="s">
        <v>125</v>
      </c>
      <c r="I91" s="4"/>
      <c r="J91" s="4"/>
      <c r="K91" s="4">
        <v>212</v>
      </c>
      <c r="L91" s="4">
        <v>28</v>
      </c>
      <c r="M91" s="4">
        <v>0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1</v>
      </c>
      <c r="C92" s="4">
        <v>0</v>
      </c>
      <c r="D92" s="4">
        <v>2</v>
      </c>
      <c r="E92" s="4">
        <v>213</v>
      </c>
      <c r="F92" s="4">
        <f>ROUND(ROUND(F90+F91,2),O92)</f>
        <v>870732.94</v>
      </c>
      <c r="G92" s="4" t="s">
        <v>126</v>
      </c>
      <c r="H92" s="4" t="s">
        <v>126</v>
      </c>
      <c r="I92" s="4"/>
      <c r="J92" s="4"/>
      <c r="K92" s="4">
        <v>212</v>
      </c>
      <c r="L92" s="4">
        <v>29</v>
      </c>
      <c r="M92" s="4">
        <v>0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5" spans="1:23" x14ac:dyDescent="0.2">
      <c r="A95">
        <v>-1</v>
      </c>
    </row>
    <row r="97" spans="1:27" x14ac:dyDescent="0.2">
      <c r="A97" s="3">
        <v>75</v>
      </c>
      <c r="B97" s="3" t="s">
        <v>127</v>
      </c>
      <c r="C97" s="3">
        <v>2020</v>
      </c>
      <c r="D97" s="3">
        <v>0</v>
      </c>
      <c r="E97" s="3">
        <v>12</v>
      </c>
      <c r="F97" s="3"/>
      <c r="G97" s="3">
        <v>0</v>
      </c>
      <c r="H97" s="3">
        <v>2</v>
      </c>
      <c r="I97" s="3">
        <v>1</v>
      </c>
      <c r="J97" s="3">
        <v>1</v>
      </c>
      <c r="K97" s="3">
        <v>93</v>
      </c>
      <c r="L97" s="3">
        <v>64</v>
      </c>
      <c r="M97" s="3">
        <v>0</v>
      </c>
      <c r="N97" s="3">
        <v>23436802</v>
      </c>
      <c r="O97" s="3">
        <v>1</v>
      </c>
    </row>
    <row r="98" spans="1:27" x14ac:dyDescent="0.2">
      <c r="A98" s="5">
        <v>1</v>
      </c>
      <c r="B98" s="5" t="s">
        <v>128</v>
      </c>
      <c r="C98" s="5" t="s">
        <v>129</v>
      </c>
      <c r="D98" s="5">
        <v>2020</v>
      </c>
      <c r="E98" s="5">
        <v>12</v>
      </c>
      <c r="F98" s="5">
        <v>1</v>
      </c>
      <c r="G98" s="5">
        <v>1</v>
      </c>
      <c r="H98" s="5">
        <v>0</v>
      </c>
      <c r="I98" s="5">
        <v>2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P98" s="5">
        <v>1</v>
      </c>
      <c r="Q98" s="5">
        <v>1</v>
      </c>
      <c r="R98" s="5" t="s">
        <v>3</v>
      </c>
      <c r="S98" s="5" t="s">
        <v>3</v>
      </c>
      <c r="T98" s="5" t="s">
        <v>3</v>
      </c>
      <c r="U98" s="5" t="s">
        <v>3</v>
      </c>
      <c r="V98" s="5" t="s">
        <v>3</v>
      </c>
      <c r="W98" s="5" t="s">
        <v>3</v>
      </c>
      <c r="X98" s="5" t="s">
        <v>3</v>
      </c>
      <c r="Y98" s="5" t="s">
        <v>3</v>
      </c>
      <c r="Z98" s="5" t="s">
        <v>3</v>
      </c>
      <c r="AA98" s="5" t="s">
        <v>130</v>
      </c>
    </row>
    <row r="102" spans="1:27" x14ac:dyDescent="0.2">
      <c r="A102">
        <v>65</v>
      </c>
      <c r="C102">
        <v>1</v>
      </c>
      <c r="D102">
        <v>0</v>
      </c>
      <c r="E102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131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23436802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(Source!F50)/1000</f>
        <v>0</v>
      </c>
      <c r="F16" s="7">
        <f>(Source!F51)/1000</f>
        <v>100.2651</v>
      </c>
      <c r="G16" s="7">
        <f>(Source!F42)/1000</f>
        <v>0</v>
      </c>
      <c r="H16" s="7">
        <f>(Source!F52)/1000+(Source!F53)/1000</f>
        <v>625.34568000000002</v>
      </c>
      <c r="I16" s="7">
        <f>E16+F16+G16+H16</f>
        <v>725.61077999999998</v>
      </c>
      <c r="J16" s="7">
        <f>(Source!F48)/1000</f>
        <v>74.741960000000006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626610.09</v>
      </c>
      <c r="AU16" s="7">
        <v>537340.18000000005</v>
      </c>
      <c r="AV16" s="7">
        <v>0</v>
      </c>
      <c r="AW16" s="7">
        <v>0</v>
      </c>
      <c r="AX16" s="7">
        <v>0</v>
      </c>
      <c r="AY16" s="7">
        <v>14527.95</v>
      </c>
      <c r="AZ16" s="7">
        <v>9376.75</v>
      </c>
      <c r="BA16" s="7">
        <v>74741.960000000006</v>
      </c>
      <c r="BB16" s="7">
        <v>0</v>
      </c>
      <c r="BC16" s="7">
        <v>100265.1</v>
      </c>
      <c r="BD16" s="7">
        <v>625345.68000000005</v>
      </c>
      <c r="BE16" s="7">
        <v>0</v>
      </c>
      <c r="BF16" s="7">
        <v>212.53534000000002</v>
      </c>
      <c r="BG16" s="7">
        <v>0</v>
      </c>
      <c r="BH16" s="7">
        <v>0</v>
      </c>
      <c r="BI16" s="7">
        <v>53635</v>
      </c>
      <c r="BJ16" s="7">
        <v>30644.19</v>
      </c>
      <c r="BK16" s="7">
        <v>725610.78</v>
      </c>
    </row>
    <row r="18" spans="1:19" x14ac:dyDescent="0.2">
      <c r="A18">
        <v>51</v>
      </c>
      <c r="E18" s="8">
        <f>SUMIF(A16:A17,3,E16:E17)</f>
        <v>0</v>
      </c>
      <c r="F18" s="8">
        <f>SUMIF(A16:A17,3,F16:F17)</f>
        <v>100.2651</v>
      </c>
      <c r="G18" s="8">
        <f>SUMIF(A16:A17,3,G16:G17)</f>
        <v>0</v>
      </c>
      <c r="H18" s="8">
        <f>SUMIF(A16:A17,3,H16:H17)</f>
        <v>625.34568000000002</v>
      </c>
      <c r="I18" s="8">
        <f>SUMIF(A16:A17,3,I16:I17)</f>
        <v>725.61077999999998</v>
      </c>
      <c r="J18" s="8">
        <f>SUMIF(A16:A17,3,J16:J17)</f>
        <v>74.741960000000006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626610.09</v>
      </c>
      <c r="G20" s="4" t="s">
        <v>71</v>
      </c>
      <c r="H20" s="4" t="s">
        <v>72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537340.18000000005</v>
      </c>
      <c r="G21" s="4" t="s">
        <v>73</v>
      </c>
      <c r="H21" s="4" t="s">
        <v>74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75</v>
      </c>
      <c r="H22" s="4" t="s">
        <v>76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537340.18000000005</v>
      </c>
      <c r="G23" s="4" t="s">
        <v>77</v>
      </c>
      <c r="H23" s="4" t="s">
        <v>78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537340.18000000005</v>
      </c>
      <c r="G24" s="4" t="s">
        <v>79</v>
      </c>
      <c r="H24" s="4" t="s">
        <v>80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81</v>
      </c>
      <c r="H25" s="4" t="s">
        <v>82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537340.18000000005</v>
      </c>
      <c r="G26" s="4" t="s">
        <v>83</v>
      </c>
      <c r="H26" s="4" t="s">
        <v>84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85</v>
      </c>
      <c r="H27" s="4" t="s">
        <v>86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87</v>
      </c>
      <c r="H28" s="4" t="s">
        <v>88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89</v>
      </c>
      <c r="H29" s="4" t="s">
        <v>90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14527.95</v>
      </c>
      <c r="G30" s="4" t="s">
        <v>91</v>
      </c>
      <c r="H30" s="4" t="s">
        <v>92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93</v>
      </c>
      <c r="H31" s="4" t="s">
        <v>94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9376.75</v>
      </c>
      <c r="G32" s="4" t="s">
        <v>95</v>
      </c>
      <c r="H32" s="4" t="s">
        <v>96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74741.960000000006</v>
      </c>
      <c r="G33" s="4" t="s">
        <v>97</v>
      </c>
      <c r="H33" s="4" t="s">
        <v>98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99</v>
      </c>
      <c r="H34" s="4" t="s">
        <v>100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0</v>
      </c>
      <c r="G35" s="4" t="s">
        <v>101</v>
      </c>
      <c r="H35" s="4" t="s">
        <v>102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100265.1</v>
      </c>
      <c r="G36" s="4" t="s">
        <v>103</v>
      </c>
      <c r="H36" s="4" t="s">
        <v>104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625345.68000000005</v>
      </c>
      <c r="G37" s="4" t="s">
        <v>105</v>
      </c>
      <c r="H37" s="4" t="s">
        <v>106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107</v>
      </c>
      <c r="H38" s="4" t="s">
        <v>108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109</v>
      </c>
      <c r="H39" s="4" t="s">
        <v>110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212.53534000000002</v>
      </c>
      <c r="G40" s="4" t="s">
        <v>111</v>
      </c>
      <c r="H40" s="4" t="s">
        <v>112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113</v>
      </c>
      <c r="H41" s="4" t="s">
        <v>114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115</v>
      </c>
      <c r="H42" s="4" t="s">
        <v>116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53635</v>
      </c>
      <c r="G43" s="4" t="s">
        <v>117</v>
      </c>
      <c r="H43" s="4" t="s">
        <v>118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30644.19</v>
      </c>
      <c r="G44" s="4" t="s">
        <v>119</v>
      </c>
      <c r="H44" s="4" t="s">
        <v>120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725610.78</v>
      </c>
      <c r="G45" s="4" t="s">
        <v>121</v>
      </c>
      <c r="H45" s="4" t="s">
        <v>122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2</v>
      </c>
      <c r="E46" s="4">
        <v>0</v>
      </c>
      <c r="F46" s="4">
        <v>725610.78</v>
      </c>
      <c r="G46" s="4" t="s">
        <v>123</v>
      </c>
      <c r="H46" s="4" t="s">
        <v>123</v>
      </c>
      <c r="I46" s="4"/>
      <c r="J46" s="4"/>
      <c r="K46" s="4">
        <v>212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145122.16</v>
      </c>
      <c r="G47" s="4" t="s">
        <v>124</v>
      </c>
      <c r="H47" s="4" t="s">
        <v>125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213</v>
      </c>
      <c r="F48" s="4">
        <v>870732.94</v>
      </c>
      <c r="G48" s="4" t="s">
        <v>126</v>
      </c>
      <c r="H48" s="4" t="s">
        <v>126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127</v>
      </c>
      <c r="C53" s="3">
        <v>2020</v>
      </c>
      <c r="D53" s="3">
        <v>0</v>
      </c>
      <c r="E53" s="3">
        <v>12</v>
      </c>
      <c r="F53" s="3"/>
      <c r="G53" s="3">
        <v>0</v>
      </c>
      <c r="H53" s="3">
        <v>2</v>
      </c>
      <c r="I53" s="3">
        <v>1</v>
      </c>
      <c r="J53" s="3">
        <v>1</v>
      </c>
      <c r="K53" s="3">
        <v>93</v>
      </c>
      <c r="L53" s="3">
        <v>64</v>
      </c>
      <c r="M53" s="3">
        <v>0</v>
      </c>
      <c r="N53" s="3">
        <v>23436802</v>
      </c>
      <c r="O53" s="3">
        <v>1</v>
      </c>
    </row>
    <row r="54" spans="1:27" x14ac:dyDescent="0.2">
      <c r="A54" s="5">
        <v>1</v>
      </c>
      <c r="B54" s="5" t="s">
        <v>128</v>
      </c>
      <c r="C54" s="5" t="s">
        <v>129</v>
      </c>
      <c r="D54" s="5">
        <v>2020</v>
      </c>
      <c r="E54" s="5">
        <v>12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130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2021-02-19T07:49:37Z</cp:lastPrinted>
  <dcterms:created xsi:type="dcterms:W3CDTF">2021-02-19T07:48:16Z</dcterms:created>
  <dcterms:modified xsi:type="dcterms:W3CDTF">2021-02-19T07:50:46Z</dcterms:modified>
</cp:coreProperties>
</file>